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3715" windowHeight="9735" activeTab="2"/>
  </bookViews>
  <sheets>
    <sheet name="Derby" sheetId="1" r:id="rId1"/>
    <sheet name="Preakness" sheetId="4" r:id="rId2"/>
    <sheet name="Belmont" sheetId="6" r:id="rId3"/>
  </sheets>
  <calcPr calcId="125725"/>
</workbook>
</file>

<file path=xl/calcChain.xml><?xml version="1.0" encoding="utf-8"?>
<calcChain xmlns="http://schemas.openxmlformats.org/spreadsheetml/2006/main">
  <c r="C25" i="6"/>
  <c r="D29"/>
  <c r="C29"/>
  <c r="D28"/>
  <c r="C28"/>
  <c r="D27"/>
  <c r="C27"/>
  <c r="D26"/>
  <c r="G5"/>
  <c r="C26" s="1"/>
  <c r="D24"/>
  <c r="C24"/>
  <c r="D23"/>
  <c r="C23"/>
  <c r="D22"/>
  <c r="C22"/>
  <c r="D21"/>
  <c r="C21"/>
  <c r="G10"/>
  <c r="F10"/>
  <c r="D25" s="1"/>
  <c r="G9"/>
  <c r="F9"/>
  <c r="G8"/>
  <c r="F8"/>
  <c r="G7"/>
  <c r="F7"/>
  <c r="G4"/>
  <c r="F4"/>
  <c r="J14"/>
  <c r="B29" s="1"/>
  <c r="I14"/>
  <c r="B28" s="1"/>
  <c r="C14"/>
  <c r="B22" s="1"/>
  <c r="B14"/>
  <c r="B21" s="1"/>
  <c r="F14"/>
  <c r="B25" s="1"/>
  <c r="E14"/>
  <c r="B24" s="1"/>
  <c r="D28" i="4"/>
  <c r="C28"/>
  <c r="D27"/>
  <c r="C27"/>
  <c r="D26"/>
  <c r="G5"/>
  <c r="C25"/>
  <c r="C24"/>
  <c r="D22"/>
  <c r="C22"/>
  <c r="D21"/>
  <c r="C21"/>
  <c r="D20"/>
  <c r="C20"/>
  <c r="F13"/>
  <c r="E13"/>
  <c r="G12"/>
  <c r="F12"/>
  <c r="E12"/>
  <c r="G11"/>
  <c r="F11"/>
  <c r="E11"/>
  <c r="G10"/>
  <c r="F10"/>
  <c r="E10"/>
  <c r="G9"/>
  <c r="F9"/>
  <c r="E9"/>
  <c r="D23" s="1"/>
  <c r="D7"/>
  <c r="G8"/>
  <c r="F8"/>
  <c r="G7"/>
  <c r="F7"/>
  <c r="E7"/>
  <c r="C23" s="1"/>
  <c r="H6"/>
  <c r="G6"/>
  <c r="F6"/>
  <c r="E6"/>
  <c r="H5"/>
  <c r="C26" s="1"/>
  <c r="F5"/>
  <c r="F14" s="1"/>
  <c r="B24" s="1"/>
  <c r="E5"/>
  <c r="G4"/>
  <c r="D25" s="1"/>
  <c r="F4"/>
  <c r="D24" s="1"/>
  <c r="E4"/>
  <c r="J14"/>
  <c r="B28" s="1"/>
  <c r="H14"/>
  <c r="B26" s="1"/>
  <c r="D14"/>
  <c r="B22" s="1"/>
  <c r="C14"/>
  <c r="B21" s="1"/>
  <c r="B14"/>
  <c r="B20" s="1"/>
  <c r="I14"/>
  <c r="B27" s="1"/>
  <c r="E14"/>
  <c r="B23" s="1"/>
  <c r="G14"/>
  <c r="B25" s="1"/>
  <c r="B14" i="1"/>
  <c r="C14"/>
  <c r="D14"/>
  <c r="E14"/>
  <c r="F14"/>
  <c r="G14"/>
  <c r="H14"/>
  <c r="I14"/>
  <c r="J14"/>
  <c r="F13"/>
  <c r="E13"/>
  <c r="F12"/>
  <c r="E12"/>
  <c r="I11"/>
  <c r="E11"/>
  <c r="E10"/>
  <c r="G9"/>
  <c r="F9"/>
  <c r="G8"/>
  <c r="F8"/>
  <c r="G7"/>
  <c r="F7"/>
  <c r="G6"/>
  <c r="F6"/>
  <c r="G5"/>
  <c r="F5"/>
  <c r="G4"/>
  <c r="G14" i="6" l="1"/>
  <c r="B26" s="1"/>
  <c r="D14"/>
  <c r="B23" s="1"/>
  <c r="H14"/>
  <c r="B27" s="1"/>
</calcChain>
</file>

<file path=xl/sharedStrings.xml><?xml version="1.0" encoding="utf-8"?>
<sst xmlns="http://schemas.openxmlformats.org/spreadsheetml/2006/main" count="135" uniqueCount="51">
  <si>
    <t>Favorite?</t>
  </si>
  <si>
    <t>No</t>
  </si>
  <si>
    <t>Yes</t>
  </si>
  <si>
    <t>$1 Pick 3</t>
  </si>
  <si>
    <t>$1 Pick 4</t>
  </si>
  <si>
    <t>$2 Pick 6</t>
  </si>
  <si>
    <t>$2 DD</t>
  </si>
  <si>
    <t>$2 Win</t>
  </si>
  <si>
    <t>$2 Exacta</t>
  </si>
  <si>
    <t>$2 Tri</t>
  </si>
  <si>
    <t>$2 Super</t>
  </si>
  <si>
    <t>Median</t>
  </si>
  <si>
    <t>Year</t>
  </si>
  <si>
    <t>$2 Oaks/Derby</t>
  </si>
  <si>
    <t>Notes:</t>
  </si>
  <si>
    <t>In 2000, 2002-2005, and 2008-2009, the Pick 6 paid to five correct</t>
  </si>
  <si>
    <t>The 2005 Super paid to a single $1 ticket</t>
  </si>
  <si>
    <t>The 2002 Oaks/Derby Double was a consolation payout</t>
  </si>
  <si>
    <t>4/10</t>
  </si>
  <si>
    <t>$1 Pick3</t>
  </si>
  <si>
    <t>$1 Pick4</t>
  </si>
  <si>
    <t>$2 Pick6</t>
  </si>
  <si>
    <t>$2 OD DD</t>
  </si>
  <si>
    <t>Bet</t>
  </si>
  <si>
    <t>Median Payout</t>
  </si>
  <si>
    <t>High</t>
  </si>
  <si>
    <t>Low</t>
  </si>
  <si>
    <t>$2 Suzy/Preak</t>
  </si>
  <si>
    <t>Fav Finish</t>
  </si>
  <si>
    <t>$2 BES/DD</t>
  </si>
  <si>
    <t>Pick 6 ending with the Preakness has only been offered twice.</t>
  </si>
  <si>
    <t>Kentucky Derby Payouts: 2000 - 2009</t>
  </si>
  <si>
    <t>Preakness Payouts: 2000 - 2009</t>
  </si>
  <si>
    <t>Belmont Payouts: 2000 - 2009</t>
  </si>
  <si>
    <t>Beyer</t>
  </si>
  <si>
    <t>Summer Bird</t>
  </si>
  <si>
    <t>Winner</t>
  </si>
  <si>
    <t>$2 Bkln/Bel DD</t>
  </si>
  <si>
    <t>In 2008 there was a dead heat for thrid place.  The Tri and the Super paid out twice, I have included the highest of the two payouts in the table above.</t>
  </si>
  <si>
    <t>Da' Tara</t>
  </si>
  <si>
    <t>The 2008 Pick Six paid to only five winners and carriedover 1,186,626.</t>
  </si>
  <si>
    <t>Rags to Riches</t>
  </si>
  <si>
    <t>Jazil</t>
  </si>
  <si>
    <t>Afleet Alex</t>
  </si>
  <si>
    <t>Birdstone</t>
  </si>
  <si>
    <t>Empire Maker</t>
  </si>
  <si>
    <t>Sarava</t>
  </si>
  <si>
    <t>Point Given</t>
  </si>
  <si>
    <t>Commendable</t>
  </si>
  <si>
    <t>3/10</t>
  </si>
  <si>
    <t>The Brooklyn/Belmont daily doulbe began in 2008.  In 2001-2004, Belmont offered an Acron/Belmont DD.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</si>
</sst>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/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1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RowHeight="15"/>
  <cols>
    <col min="1" max="1" width="9.140625" style="3"/>
    <col min="2" max="9" width="11.85546875" style="2" customWidth="1"/>
    <col min="10" max="10" width="14" style="2" customWidth="1"/>
    <col min="11" max="11" width="11.85546875" style="2" customWidth="1"/>
    <col min="12" max="16384" width="9.140625" style="2"/>
  </cols>
  <sheetData>
    <row r="1" spans="1:11" ht="23.25">
      <c r="A1" s="19" t="s">
        <v>31</v>
      </c>
      <c r="B1" s="20"/>
      <c r="C1" s="20"/>
    </row>
    <row r="3" spans="1:11" ht="15.75" thickBot="1">
      <c r="A3" s="7" t="s">
        <v>12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13</v>
      </c>
      <c r="K3" s="10" t="s">
        <v>0</v>
      </c>
    </row>
    <row r="4" spans="1:11">
      <c r="A4" s="3">
        <v>2009</v>
      </c>
      <c r="B4" s="2">
        <v>103.2</v>
      </c>
      <c r="C4" s="2">
        <v>2704.8</v>
      </c>
      <c r="D4" s="2">
        <v>41500.6</v>
      </c>
      <c r="E4" s="2">
        <v>557006.4</v>
      </c>
      <c r="F4" s="2">
        <v>1452.5</v>
      </c>
      <c r="G4" s="2">
        <f>10221.15*2</f>
        <v>20442.3</v>
      </c>
      <c r="H4" s="2">
        <v>1718.8</v>
      </c>
      <c r="I4" s="2">
        <v>632.4</v>
      </c>
      <c r="J4" s="2">
        <v>237.4</v>
      </c>
      <c r="K4" s="2" t="s">
        <v>1</v>
      </c>
    </row>
    <row r="5" spans="1:11">
      <c r="A5" s="3">
        <v>2008</v>
      </c>
      <c r="B5" s="2">
        <v>6.8</v>
      </c>
      <c r="C5" s="2">
        <v>141.6</v>
      </c>
      <c r="D5" s="2">
        <v>3445.6</v>
      </c>
      <c r="E5" s="2">
        <v>58737.8</v>
      </c>
      <c r="F5" s="2">
        <f>732.8/2</f>
        <v>366.4</v>
      </c>
      <c r="G5" s="2">
        <f>14675.6/2</f>
        <v>7337.8</v>
      </c>
      <c r="H5" s="2">
        <v>1271</v>
      </c>
      <c r="I5" s="2">
        <v>24.8</v>
      </c>
      <c r="J5" s="2">
        <v>37.799999999999997</v>
      </c>
      <c r="K5" s="2" t="s">
        <v>2</v>
      </c>
    </row>
    <row r="6" spans="1:11">
      <c r="A6" s="3">
        <v>2007</v>
      </c>
      <c r="B6" s="2">
        <v>11.8</v>
      </c>
      <c r="C6" s="2">
        <v>101.8</v>
      </c>
      <c r="D6" s="2">
        <v>444</v>
      </c>
      <c r="E6" s="2">
        <v>29046.400000000001</v>
      </c>
      <c r="F6" s="2">
        <f>927.6/2</f>
        <v>463.8</v>
      </c>
      <c r="G6" s="2">
        <f>4783.4/2</f>
        <v>2391.6999999999998</v>
      </c>
      <c r="H6" s="2">
        <v>231225.4</v>
      </c>
      <c r="I6" s="2">
        <v>87</v>
      </c>
      <c r="J6" s="2">
        <v>23.8</v>
      </c>
      <c r="K6" s="2" t="s">
        <v>2</v>
      </c>
    </row>
    <row r="7" spans="1:11">
      <c r="A7" s="3">
        <v>2006</v>
      </c>
      <c r="B7" s="2">
        <v>14.2</v>
      </c>
      <c r="C7" s="2">
        <v>587</v>
      </c>
      <c r="D7" s="2">
        <v>11418.4</v>
      </c>
      <c r="E7" s="2">
        <v>84860.4</v>
      </c>
      <c r="F7" s="2">
        <f>266.8/2</f>
        <v>133.4</v>
      </c>
      <c r="G7" s="2">
        <f>1534.8/2</f>
        <v>767.4</v>
      </c>
      <c r="H7" s="2">
        <v>114516.8</v>
      </c>
      <c r="I7" s="2">
        <v>60.4</v>
      </c>
      <c r="J7" s="2">
        <v>890.2</v>
      </c>
      <c r="K7" s="2" t="s">
        <v>1</v>
      </c>
    </row>
    <row r="8" spans="1:11">
      <c r="A8" s="3">
        <v>2005</v>
      </c>
      <c r="B8" s="2">
        <v>102.6</v>
      </c>
      <c r="C8" s="2">
        <v>9814.7999999999993</v>
      </c>
      <c r="D8" s="2">
        <v>133134.79999999999</v>
      </c>
      <c r="E8" s="2">
        <v>864253.5</v>
      </c>
      <c r="F8" s="2">
        <f>21335.2/2</f>
        <v>10667.6</v>
      </c>
      <c r="G8" s="2">
        <f>164168.6/2</f>
        <v>82084.3</v>
      </c>
      <c r="H8" s="2">
        <v>11228.2</v>
      </c>
      <c r="I8" s="2">
        <v>1973.4</v>
      </c>
      <c r="J8" s="2">
        <v>595.20000000000005</v>
      </c>
      <c r="K8" s="2" t="s">
        <v>1</v>
      </c>
    </row>
    <row r="9" spans="1:11">
      <c r="A9" s="3">
        <v>2004</v>
      </c>
      <c r="B9" s="2">
        <v>10.199999999999999</v>
      </c>
      <c r="C9" s="2">
        <v>65.2</v>
      </c>
      <c r="D9" s="2">
        <v>987.6</v>
      </c>
      <c r="E9" s="2">
        <v>41380.199999999997</v>
      </c>
      <c r="F9" s="2">
        <f>1470.8/2</f>
        <v>735.4</v>
      </c>
      <c r="G9" s="2">
        <f>38594.2/2</f>
        <v>19297.099999999999</v>
      </c>
      <c r="H9" s="2">
        <v>6878</v>
      </c>
      <c r="I9" s="2">
        <v>103.6</v>
      </c>
      <c r="J9" s="2">
        <v>60.2</v>
      </c>
      <c r="K9" s="2" t="s">
        <v>2</v>
      </c>
    </row>
    <row r="10" spans="1:11">
      <c r="A10" s="3">
        <v>2003</v>
      </c>
      <c r="B10" s="2">
        <v>27.6</v>
      </c>
      <c r="C10" s="2">
        <v>97</v>
      </c>
      <c r="D10" s="2">
        <v>664.8</v>
      </c>
      <c r="E10" s="2">
        <f>2795.8*2</f>
        <v>5591.6</v>
      </c>
      <c r="F10" s="2">
        <v>1042.5</v>
      </c>
      <c r="G10" s="2">
        <v>7017.5</v>
      </c>
      <c r="H10" s="2">
        <v>808.8</v>
      </c>
      <c r="I10" s="2">
        <v>82</v>
      </c>
      <c r="J10" s="2">
        <v>421.8</v>
      </c>
      <c r="K10" s="2" t="s">
        <v>1</v>
      </c>
    </row>
    <row r="11" spans="1:11">
      <c r="A11" s="3">
        <v>2002</v>
      </c>
      <c r="B11" s="2">
        <v>43</v>
      </c>
      <c r="C11" s="2">
        <v>1300.8</v>
      </c>
      <c r="D11" s="2">
        <v>18373.2</v>
      </c>
      <c r="E11" s="2">
        <f>91764.5*2</f>
        <v>183529</v>
      </c>
      <c r="F11" s="2">
        <v>705.7</v>
      </c>
      <c r="G11" s="2">
        <v>4073.6</v>
      </c>
      <c r="H11" s="2">
        <v>1583.7</v>
      </c>
      <c r="I11" s="2">
        <f>63</f>
        <v>63</v>
      </c>
      <c r="J11" s="2">
        <v>40.799999999999997</v>
      </c>
      <c r="K11" s="2" t="s">
        <v>1</v>
      </c>
    </row>
    <row r="12" spans="1:11">
      <c r="A12" s="3">
        <v>2001</v>
      </c>
      <c r="B12" s="2">
        <v>23</v>
      </c>
      <c r="C12" s="2">
        <v>1229</v>
      </c>
      <c r="D12" s="2">
        <v>12238.4</v>
      </c>
      <c r="E12" s="2">
        <f>62986.9*2</f>
        <v>125973.8</v>
      </c>
      <c r="F12" s="2">
        <f>515/2</f>
        <v>257.5</v>
      </c>
      <c r="H12" s="2">
        <v>16245.5</v>
      </c>
      <c r="J12" s="2">
        <v>79.2</v>
      </c>
      <c r="K12" s="2" t="s">
        <v>1</v>
      </c>
    </row>
    <row r="13" spans="1:11">
      <c r="A13" s="3">
        <v>2000</v>
      </c>
      <c r="B13" s="2">
        <v>6.6</v>
      </c>
      <c r="C13" s="2">
        <v>66</v>
      </c>
      <c r="D13" s="2">
        <v>435</v>
      </c>
      <c r="E13" s="2">
        <f>1635.4*2</f>
        <v>3270.8</v>
      </c>
      <c r="F13" s="2">
        <f>1500/2</f>
        <v>750</v>
      </c>
      <c r="H13" s="2">
        <v>9523.7999999999993</v>
      </c>
      <c r="I13" s="2">
        <v>51</v>
      </c>
      <c r="K13" s="2" t="s">
        <v>2</v>
      </c>
    </row>
    <row r="14" spans="1:11" ht="15.75" thickBot="1">
      <c r="A14" s="5" t="s">
        <v>11</v>
      </c>
      <c r="B14" s="6">
        <f>MEDIAN(B4:B13)</f>
        <v>18.600000000000001</v>
      </c>
      <c r="C14" s="6">
        <f t="shared" ref="C14:J14" si="0">MEDIAN(C4:C13)</f>
        <v>364.29999999999995</v>
      </c>
      <c r="D14" s="6">
        <f t="shared" si="0"/>
        <v>7432</v>
      </c>
      <c r="E14" s="6">
        <f t="shared" si="0"/>
        <v>71799.100000000006</v>
      </c>
      <c r="F14" s="6">
        <f t="shared" si="0"/>
        <v>720.55</v>
      </c>
      <c r="G14" s="6">
        <f t="shared" si="0"/>
        <v>7177.65</v>
      </c>
      <c r="H14" s="6">
        <f t="shared" si="0"/>
        <v>8200.9</v>
      </c>
      <c r="I14" s="6">
        <f t="shared" si="0"/>
        <v>82</v>
      </c>
      <c r="J14" s="6">
        <f t="shared" si="0"/>
        <v>79.2</v>
      </c>
      <c r="K14" s="11" t="s">
        <v>18</v>
      </c>
    </row>
    <row r="16" spans="1:11">
      <c r="A16" s="4" t="s">
        <v>14</v>
      </c>
    </row>
    <row r="17" spans="1:4">
      <c r="A17" s="1" t="s">
        <v>15</v>
      </c>
    </row>
    <row r="18" spans="1:4">
      <c r="A18" s="1" t="s">
        <v>16</v>
      </c>
    </row>
    <row r="19" spans="1:4">
      <c r="A19" s="1" t="s">
        <v>17</v>
      </c>
    </row>
    <row r="22" spans="1:4" ht="30">
      <c r="A22" s="16" t="s">
        <v>23</v>
      </c>
      <c r="B22" s="17" t="s">
        <v>24</v>
      </c>
      <c r="C22" s="18" t="s">
        <v>25</v>
      </c>
      <c r="D22" s="18" t="s">
        <v>26</v>
      </c>
    </row>
    <row r="23" spans="1:4">
      <c r="A23" s="3" t="s">
        <v>7</v>
      </c>
      <c r="B23" s="2">
        <v>18.600000000000001</v>
      </c>
      <c r="C23" s="2">
        <v>103.2</v>
      </c>
      <c r="D23" s="2">
        <v>6.6</v>
      </c>
    </row>
    <row r="24" spans="1:4">
      <c r="A24" s="3" t="s">
        <v>8</v>
      </c>
      <c r="B24" s="2">
        <v>364.3</v>
      </c>
      <c r="C24" s="2">
        <v>9814.7999999999993</v>
      </c>
      <c r="D24" s="2">
        <v>65</v>
      </c>
    </row>
    <row r="25" spans="1:4">
      <c r="A25" s="3" t="s">
        <v>9</v>
      </c>
      <c r="B25" s="2">
        <v>7432</v>
      </c>
      <c r="C25" s="2">
        <v>133134.79999999999</v>
      </c>
      <c r="D25" s="2">
        <v>435</v>
      </c>
    </row>
    <row r="26" spans="1:4">
      <c r="A26" s="3" t="s">
        <v>10</v>
      </c>
      <c r="B26" s="2">
        <v>71799.100000000006</v>
      </c>
      <c r="C26" s="2">
        <v>864253.5</v>
      </c>
      <c r="D26" s="2">
        <v>3270.8</v>
      </c>
    </row>
    <row r="27" spans="1:4">
      <c r="A27" s="3" t="s">
        <v>19</v>
      </c>
      <c r="B27" s="2">
        <v>720.55</v>
      </c>
      <c r="C27" s="2">
        <v>10667.6</v>
      </c>
      <c r="D27" s="2">
        <v>133.4</v>
      </c>
    </row>
    <row r="28" spans="1:4">
      <c r="A28" s="3" t="s">
        <v>20</v>
      </c>
      <c r="B28" s="2">
        <v>7177.65</v>
      </c>
      <c r="C28" s="2">
        <v>82084.3</v>
      </c>
      <c r="D28" s="2">
        <v>767.4</v>
      </c>
    </row>
    <row r="29" spans="1:4">
      <c r="A29" s="3" t="s">
        <v>21</v>
      </c>
      <c r="B29" s="2">
        <v>8200.9</v>
      </c>
      <c r="C29" s="2">
        <v>231225.4</v>
      </c>
      <c r="D29" s="2">
        <v>808.8</v>
      </c>
    </row>
    <row r="30" spans="1:4">
      <c r="A30" s="3" t="s">
        <v>6</v>
      </c>
      <c r="B30" s="2">
        <v>82</v>
      </c>
      <c r="C30" s="2">
        <v>1973.4</v>
      </c>
      <c r="D30" s="2">
        <v>24.8</v>
      </c>
    </row>
    <row r="31" spans="1:4">
      <c r="A31" s="3" t="s">
        <v>22</v>
      </c>
      <c r="B31" s="2">
        <v>79.2</v>
      </c>
      <c r="C31" s="2">
        <v>890.2</v>
      </c>
      <c r="D31" s="2">
        <v>23.8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G23" sqref="G23"/>
    </sheetView>
  </sheetViews>
  <sheetFormatPr defaultRowHeight="15"/>
  <cols>
    <col min="1" max="1" width="9.140625" style="3"/>
    <col min="2" max="9" width="11.85546875" style="2" customWidth="1"/>
    <col min="10" max="10" width="13.7109375" style="2" customWidth="1"/>
    <col min="11" max="11" width="11.85546875" style="2" customWidth="1"/>
    <col min="12" max="12" width="9.140625" style="12"/>
    <col min="13" max="16384" width="9.140625" style="2"/>
  </cols>
  <sheetData>
    <row r="1" spans="1:12" ht="23.25">
      <c r="A1" s="19" t="s">
        <v>32</v>
      </c>
    </row>
    <row r="3" spans="1:12" ht="15.75" thickBot="1">
      <c r="A3" s="7" t="s">
        <v>12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27</v>
      </c>
      <c r="K3" s="10" t="s">
        <v>0</v>
      </c>
      <c r="L3" s="15" t="s">
        <v>28</v>
      </c>
    </row>
    <row r="4" spans="1:12">
      <c r="A4" s="3">
        <v>2009</v>
      </c>
      <c r="B4" s="2">
        <v>5.6</v>
      </c>
      <c r="C4" s="2">
        <v>39.200000000000003</v>
      </c>
      <c r="D4" s="2">
        <v>216.2</v>
      </c>
      <c r="E4" s="2">
        <f>2903.8*2</f>
        <v>5807.6</v>
      </c>
      <c r="F4" s="2">
        <f>94.8/2</f>
        <v>47.4</v>
      </c>
      <c r="G4" s="2">
        <f>130.2/2</f>
        <v>65.099999999999994</v>
      </c>
      <c r="I4" s="2">
        <v>20</v>
      </c>
      <c r="J4" s="2">
        <v>16.8</v>
      </c>
      <c r="K4" s="2" t="s">
        <v>2</v>
      </c>
      <c r="L4" s="13">
        <v>1</v>
      </c>
    </row>
    <row r="5" spans="1:12">
      <c r="A5" s="3">
        <v>2008</v>
      </c>
      <c r="B5" s="2">
        <v>2.4</v>
      </c>
      <c r="C5" s="2">
        <v>36.6</v>
      </c>
      <c r="D5" s="2">
        <v>336.8</v>
      </c>
      <c r="E5" s="2">
        <f>1192.3*2</f>
        <v>2384.6</v>
      </c>
      <c r="F5" s="2">
        <f>415.8/2</f>
        <v>207.9</v>
      </c>
      <c r="G5" s="2">
        <f>1182.2/2</f>
        <v>591.1</v>
      </c>
      <c r="H5" s="2">
        <f>3863.4*2</f>
        <v>7726.8</v>
      </c>
      <c r="I5" s="2">
        <v>10.4</v>
      </c>
      <c r="J5" s="2">
        <v>20.2</v>
      </c>
      <c r="K5" s="2" t="s">
        <v>2</v>
      </c>
      <c r="L5" s="13">
        <v>1</v>
      </c>
    </row>
    <row r="6" spans="1:12">
      <c r="A6" s="3">
        <v>2007</v>
      </c>
      <c r="B6" s="2">
        <v>8.8000000000000007</v>
      </c>
      <c r="C6" s="2">
        <v>23.2</v>
      </c>
      <c r="D6" s="2">
        <v>50</v>
      </c>
      <c r="E6" s="2">
        <f>340.3*2</f>
        <v>680.6</v>
      </c>
      <c r="F6" s="2">
        <f>349.2/2</f>
        <v>174.6</v>
      </c>
      <c r="G6" s="2">
        <f>440.2/2</f>
        <v>220.1</v>
      </c>
      <c r="H6" s="2">
        <f>789.5*2</f>
        <v>1579</v>
      </c>
      <c r="I6" s="2">
        <v>42.2</v>
      </c>
      <c r="J6" s="2">
        <v>34.799999999999997</v>
      </c>
      <c r="K6" s="2" t="s">
        <v>1</v>
      </c>
      <c r="L6" s="13">
        <v>2</v>
      </c>
    </row>
    <row r="7" spans="1:12">
      <c r="A7" s="3">
        <v>2006</v>
      </c>
      <c r="B7" s="2">
        <v>27.8</v>
      </c>
      <c r="C7" s="2">
        <v>171.6</v>
      </c>
      <c r="D7" s="2">
        <f>3912.8</f>
        <v>3912.8</v>
      </c>
      <c r="E7" s="2">
        <f>11151.2*2</f>
        <v>22302.400000000001</v>
      </c>
      <c r="F7" s="2">
        <f>446.2/2</f>
        <v>223.1</v>
      </c>
      <c r="G7" s="2">
        <f>1620.8/2</f>
        <v>810.4</v>
      </c>
      <c r="I7" s="2">
        <v>66.2</v>
      </c>
      <c r="J7" s="2">
        <v>121</v>
      </c>
      <c r="K7" s="2" t="s">
        <v>1</v>
      </c>
      <c r="L7" s="13">
        <v>9</v>
      </c>
    </row>
    <row r="8" spans="1:12">
      <c r="A8" s="3">
        <v>2005</v>
      </c>
      <c r="B8" s="2">
        <v>8.6</v>
      </c>
      <c r="C8" s="2">
        <v>152.6</v>
      </c>
      <c r="D8" s="2">
        <v>872</v>
      </c>
      <c r="E8" s="2">
        <v>10362.299999999999</v>
      </c>
      <c r="F8" s="2">
        <f>222.4/2</f>
        <v>111.2</v>
      </c>
      <c r="G8" s="2">
        <f>4881.8/2</f>
        <v>2440.9</v>
      </c>
      <c r="I8" s="2">
        <v>33.200000000000003</v>
      </c>
      <c r="J8" s="2">
        <v>35.799999999999997</v>
      </c>
      <c r="K8" s="2" t="s">
        <v>2</v>
      </c>
      <c r="L8" s="13">
        <v>1</v>
      </c>
    </row>
    <row r="9" spans="1:12">
      <c r="A9" s="3">
        <v>2004</v>
      </c>
      <c r="B9" s="2">
        <v>3.4</v>
      </c>
      <c r="C9" s="2">
        <v>24.6</v>
      </c>
      <c r="D9" s="2">
        <v>177.2</v>
      </c>
      <c r="E9" s="2">
        <f>230.7*2</f>
        <v>461.4</v>
      </c>
      <c r="F9" s="2">
        <f>143.2/2</f>
        <v>71.599999999999994</v>
      </c>
      <c r="G9" s="2">
        <f>1506.4/2</f>
        <v>753.2</v>
      </c>
      <c r="I9" s="2">
        <v>15.4</v>
      </c>
      <c r="J9" s="2">
        <v>10.4</v>
      </c>
      <c r="K9" s="2" t="s">
        <v>2</v>
      </c>
      <c r="L9" s="13">
        <v>1</v>
      </c>
    </row>
    <row r="10" spans="1:12">
      <c r="A10" s="3">
        <v>2003</v>
      </c>
      <c r="B10" s="2">
        <v>5.8</v>
      </c>
      <c r="C10" s="2">
        <v>120.6</v>
      </c>
      <c r="D10" s="2">
        <v>684.2</v>
      </c>
      <c r="E10" s="2">
        <f>792.2*2</f>
        <v>1584.4</v>
      </c>
      <c r="F10" s="2">
        <f>652.4/2</f>
        <v>326.2</v>
      </c>
      <c r="G10" s="2">
        <f>4987.4/2</f>
        <v>2493.6999999999998</v>
      </c>
      <c r="I10" s="2">
        <v>30.4</v>
      </c>
      <c r="J10" s="2">
        <v>18.8</v>
      </c>
      <c r="K10" s="2" t="s">
        <v>2</v>
      </c>
      <c r="L10" s="13">
        <v>1</v>
      </c>
    </row>
    <row r="11" spans="1:12">
      <c r="A11" s="3">
        <v>2002</v>
      </c>
      <c r="B11" s="2">
        <v>7.6</v>
      </c>
      <c r="C11" s="2">
        <v>327</v>
      </c>
      <c r="D11" s="2">
        <v>2311</v>
      </c>
      <c r="E11" s="2">
        <f>6701.5*2</f>
        <v>13403</v>
      </c>
      <c r="F11" s="2">
        <f>133.8/2</f>
        <v>66.900000000000006</v>
      </c>
      <c r="G11" s="2">
        <f>398/2</f>
        <v>199</v>
      </c>
      <c r="I11" s="2">
        <v>49.2</v>
      </c>
      <c r="K11" s="2" t="s">
        <v>2</v>
      </c>
      <c r="L11" s="13">
        <v>1</v>
      </c>
    </row>
    <row r="12" spans="1:12">
      <c r="A12" s="3">
        <v>2001</v>
      </c>
      <c r="B12" s="2">
        <v>6.6</v>
      </c>
      <c r="C12" s="2">
        <v>81.400000000000006</v>
      </c>
      <c r="D12" s="2">
        <v>279</v>
      </c>
      <c r="E12" s="2">
        <f>717.3*2</f>
        <v>1434.6</v>
      </c>
      <c r="F12" s="2">
        <f>148.8/2</f>
        <v>74.400000000000006</v>
      </c>
      <c r="G12" s="2">
        <f>518.2/2</f>
        <v>259.10000000000002</v>
      </c>
      <c r="I12" s="2">
        <v>33.6</v>
      </c>
      <c r="K12" s="2" t="s">
        <v>2</v>
      </c>
      <c r="L12" s="13">
        <v>1</v>
      </c>
    </row>
    <row r="13" spans="1:12">
      <c r="A13" s="3">
        <v>2000</v>
      </c>
      <c r="B13" s="2">
        <v>14.4</v>
      </c>
      <c r="C13" s="2">
        <v>24</v>
      </c>
      <c r="D13" s="2">
        <v>115.8</v>
      </c>
      <c r="E13" s="2">
        <f>2235.5*2</f>
        <v>4471</v>
      </c>
      <c r="F13" s="2">
        <f>1172.8*2</f>
        <v>2345.6</v>
      </c>
      <c r="I13" s="2">
        <v>313.60000000000002</v>
      </c>
      <c r="K13" s="2" t="s">
        <v>1</v>
      </c>
      <c r="L13" s="13">
        <v>2</v>
      </c>
    </row>
    <row r="14" spans="1:12" ht="15.75" thickBot="1">
      <c r="A14" s="5" t="s">
        <v>11</v>
      </c>
      <c r="B14" s="6">
        <f>MEDIAN(B4:B13)</f>
        <v>7.1</v>
      </c>
      <c r="C14" s="6">
        <f t="shared" ref="C14:J14" si="0">MEDIAN(C4:C13)</f>
        <v>60.300000000000004</v>
      </c>
      <c r="D14" s="6">
        <f t="shared" si="0"/>
        <v>307.89999999999998</v>
      </c>
      <c r="E14" s="6">
        <f t="shared" si="0"/>
        <v>3427.8</v>
      </c>
      <c r="F14" s="6">
        <f t="shared" si="0"/>
        <v>142.9</v>
      </c>
      <c r="G14" s="6">
        <f t="shared" si="0"/>
        <v>591.1</v>
      </c>
      <c r="H14" s="6">
        <f t="shared" si="0"/>
        <v>4652.8999999999996</v>
      </c>
      <c r="I14" s="6">
        <f t="shared" si="0"/>
        <v>33.400000000000006</v>
      </c>
      <c r="J14" s="6">
        <f t="shared" si="0"/>
        <v>20.2</v>
      </c>
      <c r="K14" s="11" t="s">
        <v>18</v>
      </c>
      <c r="L14" s="14"/>
    </row>
    <row r="16" spans="1:12">
      <c r="A16" s="4" t="s">
        <v>14</v>
      </c>
      <c r="B16" s="1" t="s">
        <v>30</v>
      </c>
    </row>
    <row r="17" spans="1:4">
      <c r="A17" s="1"/>
    </row>
    <row r="19" spans="1:4" ht="30">
      <c r="A19" s="16" t="s">
        <v>23</v>
      </c>
      <c r="B19" s="17" t="s">
        <v>24</v>
      </c>
      <c r="C19" s="18" t="s">
        <v>25</v>
      </c>
      <c r="D19" s="18" t="s">
        <v>26</v>
      </c>
    </row>
    <row r="20" spans="1:4">
      <c r="A20" s="3" t="s">
        <v>7</v>
      </c>
      <c r="B20" s="2">
        <f>B14</f>
        <v>7.1</v>
      </c>
      <c r="C20" s="2">
        <f>B7</f>
        <v>27.8</v>
      </c>
      <c r="D20" s="2">
        <f>B5</f>
        <v>2.4</v>
      </c>
    </row>
    <row r="21" spans="1:4">
      <c r="A21" s="3" t="s">
        <v>8</v>
      </c>
      <c r="B21" s="2">
        <f>C14</f>
        <v>60.300000000000004</v>
      </c>
      <c r="C21" s="2">
        <f>C11</f>
        <v>327</v>
      </c>
      <c r="D21" s="2">
        <f>C6</f>
        <v>23.2</v>
      </c>
    </row>
    <row r="22" spans="1:4">
      <c r="A22" s="3" t="s">
        <v>9</v>
      </c>
      <c r="B22" s="2">
        <f>D14</f>
        <v>307.89999999999998</v>
      </c>
      <c r="C22" s="2">
        <f>D7</f>
        <v>3912.8</v>
      </c>
      <c r="D22" s="2">
        <f>D6</f>
        <v>50</v>
      </c>
    </row>
    <row r="23" spans="1:4">
      <c r="A23" s="3" t="s">
        <v>10</v>
      </c>
      <c r="B23" s="2">
        <f>E14</f>
        <v>3427.8</v>
      </c>
      <c r="C23" s="2">
        <f>E7</f>
        <v>22302.400000000001</v>
      </c>
      <c r="D23" s="2">
        <f>E9</f>
        <v>461.4</v>
      </c>
    </row>
    <row r="24" spans="1:4">
      <c r="A24" s="3" t="s">
        <v>19</v>
      </c>
      <c r="B24" s="2">
        <f>F14</f>
        <v>142.9</v>
      </c>
      <c r="C24" s="2">
        <f>F13</f>
        <v>2345.6</v>
      </c>
      <c r="D24" s="2">
        <f>F4</f>
        <v>47.4</v>
      </c>
    </row>
    <row r="25" spans="1:4">
      <c r="A25" s="3" t="s">
        <v>20</v>
      </c>
      <c r="B25" s="2">
        <f>G14</f>
        <v>591.1</v>
      </c>
      <c r="C25" s="2">
        <f>G10</f>
        <v>2493.6999999999998</v>
      </c>
      <c r="D25" s="2">
        <f>G4</f>
        <v>65.099999999999994</v>
      </c>
    </row>
    <row r="26" spans="1:4">
      <c r="A26" s="3" t="s">
        <v>21</v>
      </c>
      <c r="B26" s="2">
        <f>H14</f>
        <v>4652.8999999999996</v>
      </c>
      <c r="C26" s="2">
        <f>H5</f>
        <v>7726.8</v>
      </c>
      <c r="D26" s="2">
        <f>H6</f>
        <v>1579</v>
      </c>
    </row>
    <row r="27" spans="1:4">
      <c r="A27" s="3" t="s">
        <v>6</v>
      </c>
      <c r="B27" s="2">
        <f>I14</f>
        <v>33.400000000000006</v>
      </c>
      <c r="C27" s="2">
        <f>I13</f>
        <v>313.60000000000002</v>
      </c>
      <c r="D27" s="2">
        <f>I5</f>
        <v>10.4</v>
      </c>
    </row>
    <row r="28" spans="1:4">
      <c r="A28" s="3" t="s">
        <v>29</v>
      </c>
      <c r="B28" s="2">
        <f>J14</f>
        <v>20.2</v>
      </c>
      <c r="C28" s="2">
        <f>J7</f>
        <v>121</v>
      </c>
      <c r="D28" s="2">
        <f>J9</f>
        <v>10.4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/>
  </sheetViews>
  <sheetFormatPr defaultRowHeight="15"/>
  <cols>
    <col min="1" max="1" width="9.140625" style="3"/>
    <col min="2" max="9" width="11.85546875" style="2" customWidth="1"/>
    <col min="10" max="10" width="13.7109375" style="2" customWidth="1"/>
    <col min="11" max="11" width="11.85546875" style="2" customWidth="1"/>
    <col min="12" max="12" width="9.140625" style="12"/>
    <col min="13" max="13" width="9.140625" style="13"/>
    <col min="14" max="14" width="15.28515625" style="21" customWidth="1"/>
    <col min="15" max="16384" width="9.140625" style="2"/>
  </cols>
  <sheetData>
    <row r="1" spans="1:14" ht="23.25">
      <c r="A1" s="19" t="s">
        <v>33</v>
      </c>
    </row>
    <row r="3" spans="1:14" ht="30.75" thickBot="1">
      <c r="A3" s="7" t="s">
        <v>12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37</v>
      </c>
      <c r="K3" s="10" t="s">
        <v>0</v>
      </c>
      <c r="L3" s="15" t="s">
        <v>28</v>
      </c>
      <c r="M3" s="22" t="s">
        <v>34</v>
      </c>
      <c r="N3" s="10" t="s">
        <v>36</v>
      </c>
    </row>
    <row r="4" spans="1:14">
      <c r="A4" s="3">
        <v>2009</v>
      </c>
      <c r="B4" s="2">
        <v>25.8</v>
      </c>
      <c r="C4" s="2">
        <v>121</v>
      </c>
      <c r="D4" s="2">
        <v>295</v>
      </c>
      <c r="E4" s="2">
        <v>852</v>
      </c>
      <c r="F4" s="2">
        <f>2577/2</f>
        <v>1288.5</v>
      </c>
      <c r="G4" s="2">
        <f>17085/2</f>
        <v>8542.5</v>
      </c>
      <c r="H4" s="2">
        <v>969345</v>
      </c>
      <c r="I4" s="2">
        <v>152.5</v>
      </c>
      <c r="J4" s="2">
        <v>337.5</v>
      </c>
      <c r="K4" s="2" t="s">
        <v>1</v>
      </c>
      <c r="L4" s="13">
        <v>3</v>
      </c>
      <c r="M4" s="13">
        <v>100</v>
      </c>
      <c r="N4" s="21" t="s">
        <v>35</v>
      </c>
    </row>
    <row r="5" spans="1:14">
      <c r="A5" s="3">
        <v>2008</v>
      </c>
      <c r="B5" s="2">
        <v>79</v>
      </c>
      <c r="C5" s="2">
        <v>659</v>
      </c>
      <c r="D5" s="2">
        <v>3954</v>
      </c>
      <c r="E5" s="2">
        <v>48637</v>
      </c>
      <c r="F5" s="2">
        <v>3237.5</v>
      </c>
      <c r="G5" s="2">
        <f>34287/2</f>
        <v>17143.5</v>
      </c>
      <c r="H5" s="2">
        <v>1106</v>
      </c>
      <c r="I5" s="2">
        <v>1574</v>
      </c>
      <c r="J5" s="2">
        <v>550</v>
      </c>
      <c r="K5" s="2" t="s">
        <v>1</v>
      </c>
      <c r="L5" s="13">
        <v>9</v>
      </c>
      <c r="M5" s="13">
        <v>99</v>
      </c>
      <c r="N5" s="21" t="s">
        <v>39</v>
      </c>
    </row>
    <row r="6" spans="1:14">
      <c r="A6" s="3">
        <v>2007</v>
      </c>
      <c r="B6" s="2">
        <v>10.6</v>
      </c>
      <c r="C6" s="2">
        <v>25.2</v>
      </c>
      <c r="D6" s="2">
        <v>131.5</v>
      </c>
      <c r="E6" s="2">
        <v>242.5</v>
      </c>
      <c r="F6" s="2">
        <v>234</v>
      </c>
      <c r="G6" s="2">
        <v>2736</v>
      </c>
      <c r="H6" s="2">
        <v>417207</v>
      </c>
      <c r="I6" s="2">
        <v>53</v>
      </c>
      <c r="K6" s="2" t="s">
        <v>1</v>
      </c>
      <c r="L6" s="13">
        <v>2</v>
      </c>
      <c r="M6" s="13">
        <v>107</v>
      </c>
      <c r="N6" s="21" t="s">
        <v>41</v>
      </c>
    </row>
    <row r="7" spans="1:14">
      <c r="A7" s="3">
        <v>2006</v>
      </c>
      <c r="B7" s="2">
        <v>14.4</v>
      </c>
      <c r="C7" s="2">
        <v>92</v>
      </c>
      <c r="D7" s="2">
        <v>436</v>
      </c>
      <c r="E7" s="2">
        <v>1085</v>
      </c>
      <c r="F7" s="2">
        <f>390.5/2</f>
        <v>195.25</v>
      </c>
      <c r="G7" s="2">
        <f>1869/2</f>
        <v>934.5</v>
      </c>
      <c r="H7" s="2">
        <v>17541</v>
      </c>
      <c r="I7" s="2">
        <v>67.5</v>
      </c>
      <c r="K7" s="2" t="s">
        <v>1</v>
      </c>
      <c r="L7" s="13">
        <v>8</v>
      </c>
      <c r="M7" s="13">
        <v>102</v>
      </c>
      <c r="N7" s="21" t="s">
        <v>42</v>
      </c>
    </row>
    <row r="8" spans="1:14">
      <c r="A8" s="3">
        <v>2005</v>
      </c>
      <c r="B8" s="2">
        <v>4.3</v>
      </c>
      <c r="C8" s="2">
        <v>44</v>
      </c>
      <c r="D8" s="2">
        <v>1249</v>
      </c>
      <c r="E8" s="2">
        <v>14219</v>
      </c>
      <c r="F8" s="2">
        <f>314.5/2</f>
        <v>157.25</v>
      </c>
      <c r="G8" s="2">
        <f>490/2</f>
        <v>245</v>
      </c>
      <c r="H8" s="2">
        <v>19758</v>
      </c>
      <c r="I8" s="2">
        <v>88</v>
      </c>
      <c r="K8" s="2" t="s">
        <v>2</v>
      </c>
      <c r="L8" s="13">
        <v>1</v>
      </c>
      <c r="M8" s="13">
        <v>106</v>
      </c>
      <c r="N8" s="21" t="s">
        <v>43</v>
      </c>
    </row>
    <row r="9" spans="1:14">
      <c r="A9" s="3">
        <v>2004</v>
      </c>
      <c r="B9" s="2">
        <v>74</v>
      </c>
      <c r="C9" s="2">
        <v>139</v>
      </c>
      <c r="D9" s="2">
        <v>1589</v>
      </c>
      <c r="E9" s="2">
        <v>11679</v>
      </c>
      <c r="F9" s="2">
        <f>2910/2</f>
        <v>1455</v>
      </c>
      <c r="G9" s="2">
        <f>7309/2</f>
        <v>3654.5</v>
      </c>
      <c r="H9" s="2">
        <v>47421</v>
      </c>
      <c r="I9" s="2">
        <v>526</v>
      </c>
      <c r="J9" s="2">
        <v>466</v>
      </c>
      <c r="K9" s="2" t="s">
        <v>1</v>
      </c>
      <c r="L9" s="13">
        <v>2</v>
      </c>
      <c r="M9" s="13">
        <v>101</v>
      </c>
      <c r="N9" s="21" t="s">
        <v>44</v>
      </c>
    </row>
    <row r="10" spans="1:14">
      <c r="A10" s="3">
        <v>2003</v>
      </c>
      <c r="B10" s="2">
        <v>6</v>
      </c>
      <c r="C10" s="2">
        <v>44</v>
      </c>
      <c r="D10" s="2">
        <v>67.5</v>
      </c>
      <c r="F10" s="2">
        <f>84/2</f>
        <v>42</v>
      </c>
      <c r="G10" s="2">
        <f>271/2</f>
        <v>135.5</v>
      </c>
      <c r="H10" s="2">
        <v>900</v>
      </c>
      <c r="I10" s="2">
        <v>16</v>
      </c>
      <c r="J10" s="2">
        <v>20.2</v>
      </c>
      <c r="K10" s="2" t="s">
        <v>2</v>
      </c>
      <c r="L10" s="13">
        <v>1</v>
      </c>
      <c r="M10" s="13">
        <v>110</v>
      </c>
      <c r="N10" s="21" t="s">
        <v>45</v>
      </c>
    </row>
    <row r="11" spans="1:14">
      <c r="A11" s="3">
        <v>2002</v>
      </c>
      <c r="B11" s="2">
        <v>142.5</v>
      </c>
      <c r="C11" s="2">
        <v>2454</v>
      </c>
      <c r="D11" s="2">
        <v>25209</v>
      </c>
      <c r="E11" s="2">
        <v>145334</v>
      </c>
      <c r="J11" s="2">
        <v>348.5</v>
      </c>
      <c r="K11" s="2" t="s">
        <v>1</v>
      </c>
      <c r="L11" s="13">
        <v>8</v>
      </c>
      <c r="M11" s="13">
        <v>105</v>
      </c>
      <c r="N11" s="21" t="s">
        <v>46</v>
      </c>
    </row>
    <row r="12" spans="1:14">
      <c r="A12" s="3">
        <v>2001</v>
      </c>
      <c r="B12" s="2">
        <v>4.7</v>
      </c>
      <c r="C12" s="2">
        <v>20.6</v>
      </c>
      <c r="D12" s="2">
        <v>76</v>
      </c>
      <c r="E12" s="2">
        <v>183.5</v>
      </c>
      <c r="J12" s="2">
        <v>417.5</v>
      </c>
      <c r="K12" s="2" t="s">
        <v>2</v>
      </c>
      <c r="L12" s="13">
        <v>1</v>
      </c>
      <c r="M12" s="13">
        <v>114</v>
      </c>
      <c r="N12" s="21" t="s">
        <v>47</v>
      </c>
    </row>
    <row r="13" spans="1:14">
      <c r="A13" s="3">
        <v>2000</v>
      </c>
      <c r="B13" s="2">
        <v>39.6</v>
      </c>
      <c r="C13" s="2">
        <v>213</v>
      </c>
      <c r="D13" s="2">
        <v>1310</v>
      </c>
      <c r="E13" s="2">
        <v>9315</v>
      </c>
      <c r="K13" s="2" t="s">
        <v>1</v>
      </c>
      <c r="L13" s="13">
        <v>2</v>
      </c>
      <c r="M13" s="13">
        <v>101</v>
      </c>
      <c r="N13" s="21" t="s">
        <v>48</v>
      </c>
    </row>
    <row r="14" spans="1:14" ht="15.75" thickBot="1">
      <c r="A14" s="5" t="s">
        <v>11</v>
      </c>
      <c r="B14" s="6">
        <f>MEDIAN(B4:B13)</f>
        <v>20.100000000000001</v>
      </c>
      <c r="C14" s="6">
        <f t="shared" ref="C14:J14" si="0">MEDIAN(C4:C13)</f>
        <v>106.5</v>
      </c>
      <c r="D14" s="6">
        <f t="shared" si="0"/>
        <v>842.5</v>
      </c>
      <c r="E14" s="6">
        <f t="shared" si="0"/>
        <v>9315</v>
      </c>
      <c r="F14" s="6">
        <f t="shared" si="0"/>
        <v>234</v>
      </c>
      <c r="G14" s="6">
        <f t="shared" si="0"/>
        <v>2736</v>
      </c>
      <c r="H14" s="6">
        <f t="shared" si="0"/>
        <v>19758</v>
      </c>
      <c r="I14" s="6">
        <f t="shared" si="0"/>
        <v>88</v>
      </c>
      <c r="J14" s="6">
        <f t="shared" si="0"/>
        <v>383</v>
      </c>
      <c r="K14" s="11" t="s">
        <v>49</v>
      </c>
      <c r="L14" s="14"/>
    </row>
    <row r="16" spans="1:14">
      <c r="A16" s="4" t="s">
        <v>14</v>
      </c>
      <c r="B16" s="1" t="s">
        <v>38</v>
      </c>
    </row>
    <row r="17" spans="1:4">
      <c r="A17" s="1"/>
      <c r="B17" s="1" t="s">
        <v>40</v>
      </c>
    </row>
    <row r="18" spans="1:4">
      <c r="A18" s="1"/>
      <c r="B18" s="1" t="s">
        <v>50</v>
      </c>
    </row>
    <row r="20" spans="1:4" ht="30">
      <c r="A20" s="16" t="s">
        <v>23</v>
      </c>
      <c r="B20" s="17" t="s">
        <v>24</v>
      </c>
      <c r="C20" s="18" t="s">
        <v>25</v>
      </c>
      <c r="D20" s="18" t="s">
        <v>26</v>
      </c>
    </row>
    <row r="21" spans="1:4">
      <c r="A21" s="3" t="s">
        <v>7</v>
      </c>
      <c r="B21" s="2">
        <f>B14</f>
        <v>20.100000000000001</v>
      </c>
      <c r="C21" s="2">
        <f>B11</f>
        <v>142.5</v>
      </c>
      <c r="D21" s="2">
        <f>B8</f>
        <v>4.3</v>
      </c>
    </row>
    <row r="22" spans="1:4">
      <c r="A22" s="3" t="s">
        <v>8</v>
      </c>
      <c r="B22" s="2">
        <f>C14</f>
        <v>106.5</v>
      </c>
      <c r="C22" s="2">
        <f>C11</f>
        <v>2454</v>
      </c>
      <c r="D22" s="2">
        <f>C12</f>
        <v>20.6</v>
      </c>
    </row>
    <row r="23" spans="1:4">
      <c r="A23" s="3" t="s">
        <v>9</v>
      </c>
      <c r="B23" s="2">
        <f>D14</f>
        <v>842.5</v>
      </c>
      <c r="C23" s="2">
        <f>D11</f>
        <v>25209</v>
      </c>
      <c r="D23" s="2">
        <f>D10</f>
        <v>67.5</v>
      </c>
    </row>
    <row r="24" spans="1:4">
      <c r="A24" s="3" t="s">
        <v>10</v>
      </c>
      <c r="B24" s="2">
        <f>E14</f>
        <v>9315</v>
      </c>
      <c r="C24" s="2">
        <f>E11</f>
        <v>145334</v>
      </c>
      <c r="D24" s="2">
        <f>E12</f>
        <v>183.5</v>
      </c>
    </row>
    <row r="25" spans="1:4">
      <c r="A25" s="3" t="s">
        <v>19</v>
      </c>
      <c r="B25" s="2">
        <f>F14</f>
        <v>234</v>
      </c>
      <c r="C25" s="2">
        <f>F5</f>
        <v>3237.5</v>
      </c>
      <c r="D25" s="2">
        <f>F10</f>
        <v>42</v>
      </c>
    </row>
    <row r="26" spans="1:4">
      <c r="A26" s="3" t="s">
        <v>20</v>
      </c>
      <c r="B26" s="2">
        <f>G14</f>
        <v>2736</v>
      </c>
      <c r="C26" s="2">
        <f>G5</f>
        <v>17143.5</v>
      </c>
      <c r="D26" s="2">
        <f>G10</f>
        <v>135.5</v>
      </c>
    </row>
    <row r="27" spans="1:4">
      <c r="A27" s="3" t="s">
        <v>21</v>
      </c>
      <c r="B27" s="2">
        <f>H14</f>
        <v>19758</v>
      </c>
      <c r="C27" s="2">
        <f>H4</f>
        <v>969345</v>
      </c>
      <c r="D27" s="2">
        <f>H10</f>
        <v>900</v>
      </c>
    </row>
    <row r="28" spans="1:4">
      <c r="A28" s="3" t="s">
        <v>6</v>
      </c>
      <c r="B28" s="2">
        <f>I14</f>
        <v>88</v>
      </c>
      <c r="C28" s="2">
        <f>I5</f>
        <v>1574</v>
      </c>
      <c r="D28" s="2">
        <f>I10</f>
        <v>16</v>
      </c>
    </row>
    <row r="29" spans="1:4">
      <c r="A29" s="3" t="s">
        <v>29</v>
      </c>
      <c r="B29" s="2">
        <f>J14</f>
        <v>383</v>
      </c>
      <c r="C29" s="2">
        <f>J5</f>
        <v>550</v>
      </c>
      <c r="D29" s="2">
        <f>J10</f>
        <v>20.2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Derby</vt:lpstr>
      <vt:lpstr>Preakness</vt:lpstr>
      <vt:lpstr>Belmont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2010-04-26T00:41:39Z</dcterms:created>
  <dcterms:modified xsi:type="dcterms:W3CDTF">2010-06-01T15:13:36Z</dcterms:modified>
</cp:coreProperties>
</file>