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805" yWindow="65476" windowWidth="8850" windowHeight="11760" tabRatio="500" activeTab="0"/>
  </bookViews>
  <sheets>
    <sheet name="WAR" sheetId="1" r:id="rId1"/>
  </sheets>
  <definedNames>
    <definedName name="PosAdjTable">'WAR'!$J$40:$K$49</definedName>
  </definedNames>
  <calcPr fullCalcOnLoad="1"/>
</workbook>
</file>

<file path=xl/sharedStrings.xml><?xml version="1.0" encoding="utf-8"?>
<sst xmlns="http://schemas.openxmlformats.org/spreadsheetml/2006/main" count="143" uniqueCount="89">
  <si>
    <t>Pos</t>
  </si>
  <si>
    <t>PA</t>
  </si>
  <si>
    <t>wOBA</t>
  </si>
  <si>
    <t>BR</t>
  </si>
  <si>
    <t>Field</t>
  </si>
  <si>
    <t>WAR</t>
  </si>
  <si>
    <t>CA</t>
  </si>
  <si>
    <t>1B</t>
  </si>
  <si>
    <t>2B</t>
  </si>
  <si>
    <t>SS</t>
  </si>
  <si>
    <t>3B</t>
  </si>
  <si>
    <t>LF</t>
  </si>
  <si>
    <t>CF</t>
  </si>
  <si>
    <t>RF</t>
  </si>
  <si>
    <t>DH</t>
  </si>
  <si>
    <t>P</t>
  </si>
  <si>
    <t>Total</t>
  </si>
  <si>
    <t>Team</t>
  </si>
  <si>
    <t>A/N</t>
  </si>
  <si>
    <t>Hitter</t>
  </si>
  <si>
    <t>Pitcher</t>
  </si>
  <si>
    <t>IP</t>
  </si>
  <si>
    <t>ERA</t>
  </si>
  <si>
    <t>S/R</t>
  </si>
  <si>
    <t>S</t>
  </si>
  <si>
    <t>LEV</t>
  </si>
  <si>
    <t>Starters</t>
  </si>
  <si>
    <t>Relievers</t>
  </si>
  <si>
    <t>R</t>
  </si>
  <si>
    <t>WAA</t>
  </si>
  <si>
    <t>Hitters</t>
  </si>
  <si>
    <t>Pitchers</t>
  </si>
  <si>
    <t>Group</t>
  </si>
  <si>
    <t>Hit</t>
  </si>
  <si>
    <t>IP Goal:</t>
  </si>
  <si>
    <t>1445 total</t>
  </si>
  <si>
    <t>505 relievers</t>
  </si>
  <si>
    <t>940 starters</t>
  </si>
  <si>
    <t>FA $</t>
  </si>
  <si>
    <t>$/WAR</t>
  </si>
  <si>
    <t>Per 700 PAs</t>
  </si>
  <si>
    <t>Fld</t>
  </si>
  <si>
    <t>Rep</t>
  </si>
  <si>
    <t>My Team</t>
  </si>
  <si>
    <t>A</t>
  </si>
  <si>
    <t>Win Talent</t>
  </si>
  <si>
    <t>OBP</t>
  </si>
  <si>
    <t>SLG</t>
  </si>
  <si>
    <t>wOBA?</t>
  </si>
  <si>
    <t>PA Goal:</t>
  </si>
  <si>
    <t>Prob &gt;= X Wins</t>
  </si>
  <si>
    <t>75 PAs per .010 points of wOBA (~8/spot)</t>
  </si>
  <si>
    <t>(695 per slot, 350 more for NL PHs) plus…</t>
  </si>
  <si>
    <t>6250 AL, 5900 NL at .335 wOBP</t>
  </si>
  <si>
    <t>Total WAR</t>
  </si>
  <si>
    <t>Total FA $</t>
  </si>
  <si>
    <t>wOBA_lg</t>
  </si>
  <si>
    <t>ERA_lg</t>
  </si>
  <si>
    <t>Albert Pujols</t>
  </si>
  <si>
    <t>Howie Kendrick</t>
  </si>
  <si>
    <t>Erick Aybar</t>
  </si>
  <si>
    <t>Peter Bourjos</t>
  </si>
  <si>
    <t>Torii Hunter</t>
  </si>
  <si>
    <t>Kendrys Morales</t>
  </si>
  <si>
    <t>Chris Iannetta</t>
  </si>
  <si>
    <t>Vernon Wells</t>
  </si>
  <si>
    <t>Mark Trumbo</t>
  </si>
  <si>
    <t>Mike Trout</t>
  </si>
  <si>
    <t>Bobby Abreu</t>
  </si>
  <si>
    <t>Alberto Callaspo</t>
  </si>
  <si>
    <t>Maicer Izturis</t>
  </si>
  <si>
    <t>Hank Conger</t>
  </si>
  <si>
    <t>Bobby Wilson</t>
  </si>
  <si>
    <t>Alexi Amarista</t>
  </si>
  <si>
    <t>Dan Haren</t>
  </si>
  <si>
    <t>Jered Weaver</t>
  </si>
  <si>
    <t>C.J. Wilson</t>
  </si>
  <si>
    <t>Ervin Santana</t>
  </si>
  <si>
    <t>Jerome Williams</t>
  </si>
  <si>
    <t>Garrett Richards</t>
  </si>
  <si>
    <t>Scott Downs</t>
  </si>
  <si>
    <t>Jordan Walden</t>
  </si>
  <si>
    <t>LaTroy Hawkins</t>
  </si>
  <si>
    <t>Kisanori Takahashi</t>
  </si>
  <si>
    <t>Rich Thompson</t>
  </si>
  <si>
    <t>Jason Isringhausen</t>
  </si>
  <si>
    <t>Bobby Cassevah</t>
  </si>
  <si>
    <t>Kevin Jepsen</t>
  </si>
  <si>
    <t>Trevor Bell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</si>
</sst>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  <numFmt numFmtId="165" formatCode="0.0"/>
    <numFmt numFmtId="166" formatCode="&quot;$&quot;#,##0"/>
    <numFmt numFmtId="167" formatCode="0.0000000000000"/>
    <numFmt numFmtId="168" formatCode="&quot;$&quot;#,##0.0"/>
    <numFmt numFmtId="169" formatCode=".0"/>
    <numFmt numFmtId="170" formatCode="#,##0.0"/>
    <numFmt numFmtId="171" formatCode=".00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9"/>
      <name val="Verdana"/>
      <family val="0"/>
    </font>
    <font>
      <sz val="10"/>
      <color indexed="55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164" fontId="0" fillId="34" borderId="0" xfId="0" applyNumberFormat="1" applyFill="1" applyBorder="1" applyAlignment="1">
      <alignment/>
    </xf>
    <xf numFmtId="2" fontId="0" fillId="34" borderId="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164" fontId="0" fillId="34" borderId="12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164" fontId="0" fillId="34" borderId="14" xfId="0" applyNumberFormat="1" applyFill="1" applyBorder="1" applyAlignment="1">
      <alignment/>
    </xf>
    <xf numFmtId="2" fontId="0" fillId="34" borderId="14" xfId="0" applyNumberForma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3" xfId="0" applyFill="1" applyBorder="1" applyAlignment="1">
      <alignment/>
    </xf>
    <xf numFmtId="0" fontId="0" fillId="34" borderId="16" xfId="0" applyFill="1" applyBorder="1" applyAlignment="1">
      <alignment/>
    </xf>
    <xf numFmtId="165" fontId="0" fillId="36" borderId="17" xfId="0" applyNumberFormat="1" applyFill="1" applyBorder="1" applyAlignment="1">
      <alignment/>
    </xf>
    <xf numFmtId="165" fontId="0" fillId="35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165" fontId="0" fillId="34" borderId="0" xfId="0" applyNumberFormat="1" applyFill="1" applyBorder="1" applyAlignment="1">
      <alignment/>
    </xf>
    <xf numFmtId="165" fontId="0" fillId="35" borderId="12" xfId="0" applyNumberFormat="1" applyFill="1" applyBorder="1" applyAlignment="1">
      <alignment/>
    </xf>
    <xf numFmtId="165" fontId="0" fillId="35" borderId="14" xfId="0" applyNumberFormat="1" applyFill="1" applyBorder="1" applyAlignment="1">
      <alignment/>
    </xf>
    <xf numFmtId="164" fontId="0" fillId="35" borderId="14" xfId="0" applyNumberFormat="1" applyFill="1" applyBorder="1" applyAlignment="1">
      <alignment/>
    </xf>
    <xf numFmtId="0" fontId="0" fillId="35" borderId="11" xfId="0" applyFill="1" applyBorder="1" applyAlignment="1">
      <alignment/>
    </xf>
    <xf numFmtId="165" fontId="0" fillId="35" borderId="20" xfId="0" applyNumberFormat="1" applyFill="1" applyBorder="1" applyAlignment="1">
      <alignment/>
    </xf>
    <xf numFmtId="0" fontId="0" fillId="36" borderId="19" xfId="0" applyFill="1" applyBorder="1" applyAlignment="1">
      <alignment/>
    </xf>
    <xf numFmtId="165" fontId="0" fillId="37" borderId="17" xfId="0" applyNumberForma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20" xfId="0" applyFill="1" applyBorder="1" applyAlignment="1">
      <alignment/>
    </xf>
    <xf numFmtId="2" fontId="0" fillId="35" borderId="18" xfId="0" applyNumberFormat="1" applyFill="1" applyBorder="1" applyAlignment="1">
      <alignment/>
    </xf>
    <xf numFmtId="168" fontId="0" fillId="36" borderId="10" xfId="0" applyNumberFormat="1" applyFill="1" applyBorder="1" applyAlignment="1">
      <alignment/>
    </xf>
    <xf numFmtId="168" fontId="0" fillId="36" borderId="11" xfId="0" applyNumberFormat="1" applyFill="1" applyBorder="1" applyAlignment="1">
      <alignment/>
    </xf>
    <xf numFmtId="168" fontId="0" fillId="36" borderId="13" xfId="0" applyNumberFormat="1" applyFill="1" applyBorder="1" applyAlignment="1">
      <alignment/>
    </xf>
    <xf numFmtId="168" fontId="0" fillId="37" borderId="13" xfId="0" applyNumberFormat="1" applyFill="1" applyBorder="1" applyAlignment="1">
      <alignment/>
    </xf>
    <xf numFmtId="165" fontId="0" fillId="36" borderId="15" xfId="0" applyNumberFormat="1" applyFill="1" applyBorder="1" applyAlignment="1">
      <alignment/>
    </xf>
    <xf numFmtId="165" fontId="0" fillId="36" borderId="20" xfId="0" applyNumberFormat="1" applyFill="1" applyBorder="1" applyAlignment="1">
      <alignment/>
    </xf>
    <xf numFmtId="165" fontId="0" fillId="36" borderId="16" xfId="0" applyNumberFormat="1" applyFill="1" applyBorder="1" applyAlignment="1">
      <alignment/>
    </xf>
    <xf numFmtId="168" fontId="0" fillId="36" borderId="19" xfId="0" applyNumberFormat="1" applyFill="1" applyBorder="1" applyAlignment="1">
      <alignment/>
    </xf>
    <xf numFmtId="168" fontId="0" fillId="37" borderId="19" xfId="0" applyNumberForma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2" fontId="6" fillId="33" borderId="15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0" fillId="0" borderId="0" xfId="0" applyNumberFormat="1" applyAlignment="1">
      <alignment/>
    </xf>
    <xf numFmtId="9" fontId="0" fillId="35" borderId="20" xfId="0" applyNumberFormat="1" applyFill="1" applyBorder="1" applyAlignment="1">
      <alignment/>
    </xf>
    <xf numFmtId="9" fontId="0" fillId="35" borderId="16" xfId="0" applyNumberFormat="1" applyFill="1" applyBorder="1" applyAlignment="1">
      <alignment/>
    </xf>
    <xf numFmtId="0" fontId="0" fillId="36" borderId="17" xfId="0" applyFill="1" applyBorder="1" applyAlignment="1">
      <alignment/>
    </xf>
    <xf numFmtId="0" fontId="0" fillId="35" borderId="21" xfId="0" applyFill="1" applyBorder="1" applyAlignment="1">
      <alignment/>
    </xf>
    <xf numFmtId="0" fontId="0" fillId="34" borderId="22" xfId="0" applyFill="1" applyBorder="1" applyAlignment="1">
      <alignment/>
    </xf>
    <xf numFmtId="2" fontId="0" fillId="35" borderId="12" xfId="0" applyNumberFormat="1" applyFill="1" applyBorder="1" applyAlignment="1">
      <alignment/>
    </xf>
    <xf numFmtId="2" fontId="0" fillId="35" borderId="0" xfId="0" applyNumberFormat="1" applyFill="1" applyBorder="1" applyAlignment="1">
      <alignment/>
    </xf>
    <xf numFmtId="2" fontId="0" fillId="35" borderId="14" xfId="0" applyNumberFormat="1" applyFill="1" applyBorder="1" applyAlignment="1">
      <alignment/>
    </xf>
    <xf numFmtId="165" fontId="0" fillId="37" borderId="16" xfId="0" applyNumberFormat="1" applyFill="1" applyBorder="1" applyAlignment="1">
      <alignment/>
    </xf>
    <xf numFmtId="165" fontId="0" fillId="35" borderId="18" xfId="0" applyNumberFormat="1" applyFill="1" applyBorder="1" applyAlignment="1">
      <alignment/>
    </xf>
    <xf numFmtId="0" fontId="0" fillId="37" borderId="13" xfId="0" applyFill="1" applyBorder="1" applyAlignment="1">
      <alignment/>
    </xf>
    <xf numFmtId="165" fontId="0" fillId="37" borderId="14" xfId="0" applyNumberFormat="1" applyFill="1" applyBorder="1" applyAlignment="1">
      <alignment/>
    </xf>
    <xf numFmtId="0" fontId="0" fillId="36" borderId="10" xfId="0" applyFill="1" applyBorder="1" applyAlignment="1">
      <alignment/>
    </xf>
    <xf numFmtId="165" fontId="0" fillId="36" borderId="12" xfId="0" applyNumberFormat="1" applyFill="1" applyBorder="1" applyAlignment="1">
      <alignment/>
    </xf>
    <xf numFmtId="0" fontId="0" fillId="36" borderId="13" xfId="0" applyFill="1" applyBorder="1" applyAlignment="1">
      <alignment/>
    </xf>
    <xf numFmtId="165" fontId="0" fillId="36" borderId="14" xfId="0" applyNumberFormat="1" applyFill="1" applyBorder="1" applyAlignment="1">
      <alignment/>
    </xf>
    <xf numFmtId="168" fontId="0" fillId="36" borderId="16" xfId="0" applyNumberFormat="1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13" xfId="0" applyFill="1" applyBorder="1" applyAlignment="1">
      <alignment/>
    </xf>
    <xf numFmtId="2" fontId="0" fillId="34" borderId="16" xfId="0" applyNumberFormat="1" applyFill="1" applyBorder="1" applyAlignment="1">
      <alignment/>
    </xf>
    <xf numFmtId="164" fontId="0" fillId="34" borderId="15" xfId="0" applyNumberForma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5"/>
  <sheetViews>
    <sheetView tabSelected="1" zoomScalePageLayoutView="0" workbookViewId="0" topLeftCell="A1">
      <selection activeCell="K24" sqref="K24"/>
    </sheetView>
  </sheetViews>
  <sheetFormatPr defaultColWidth="11.00390625" defaultRowHeight="12.75"/>
  <cols>
    <col min="1" max="1" width="2.875" style="0" customWidth="1"/>
    <col min="2" max="2" width="14.25390625" style="0" customWidth="1"/>
    <col min="3" max="3" width="4.625" style="0" customWidth="1"/>
    <col min="4" max="4" width="6.375" style="0" customWidth="1"/>
    <col min="5" max="15" width="6.00390625" style="0" customWidth="1"/>
    <col min="16" max="16" width="4.75390625" style="0" customWidth="1"/>
    <col min="17" max="17" width="9.125" style="0" customWidth="1"/>
    <col min="18" max="19" width="7.125" style="0" customWidth="1"/>
  </cols>
  <sheetData>
    <row r="2" spans="2:8" ht="12.75">
      <c r="B2" s="18" t="s">
        <v>17</v>
      </c>
      <c r="C2" s="15" t="s">
        <v>18</v>
      </c>
      <c r="D2" s="19" t="s">
        <v>39</v>
      </c>
      <c r="H2" s="56" t="s">
        <v>48</v>
      </c>
    </row>
    <row r="3" spans="2:8" ht="12.75">
      <c r="B3" s="11" t="s">
        <v>43</v>
      </c>
      <c r="C3" s="12" t="s">
        <v>44</v>
      </c>
      <c r="D3" s="21">
        <v>4.5</v>
      </c>
      <c r="H3" s="57" t="b">
        <v>1</v>
      </c>
    </row>
    <row r="5" spans="8:13" ht="12.75">
      <c r="H5" s="74" t="s">
        <v>40</v>
      </c>
      <c r="I5" s="75"/>
      <c r="J5" s="75"/>
      <c r="K5" s="75"/>
      <c r="L5" s="75"/>
      <c r="M5" s="75"/>
    </row>
    <row r="6" spans="2:19" s="1" customFormat="1" ht="12.75">
      <c r="B6" s="2" t="s">
        <v>19</v>
      </c>
      <c r="C6" s="47" t="s">
        <v>0</v>
      </c>
      <c r="D6" s="47" t="s">
        <v>1</v>
      </c>
      <c r="E6" s="47" t="s">
        <v>46</v>
      </c>
      <c r="F6" s="47" t="s">
        <v>47</v>
      </c>
      <c r="G6" s="47" t="s">
        <v>2</v>
      </c>
      <c r="H6" s="49" t="s">
        <v>33</v>
      </c>
      <c r="I6" s="49" t="s">
        <v>3</v>
      </c>
      <c r="J6" s="49" t="s">
        <v>0</v>
      </c>
      <c r="K6" s="49" t="s">
        <v>41</v>
      </c>
      <c r="L6" s="49" t="s">
        <v>42</v>
      </c>
      <c r="M6" s="49" t="s">
        <v>5</v>
      </c>
      <c r="N6" s="47" t="s">
        <v>38</v>
      </c>
      <c r="O6" s="50" t="s">
        <v>5</v>
      </c>
      <c r="Q6" s="46" t="s">
        <v>32</v>
      </c>
      <c r="R6" s="47" t="s">
        <v>29</v>
      </c>
      <c r="S6" s="48" t="s">
        <v>5</v>
      </c>
    </row>
    <row r="7" spans="2:19" ht="12.75">
      <c r="B7" s="7" t="s">
        <v>64</v>
      </c>
      <c r="C7" s="15" t="s">
        <v>6</v>
      </c>
      <c r="D7" s="8">
        <v>452</v>
      </c>
      <c r="E7" s="9"/>
      <c r="F7" s="9"/>
      <c r="G7" s="9">
        <v>0.327</v>
      </c>
      <c r="H7" s="58">
        <f>IF(D7=0,"",(IF(H$3,G7,(1.75*E7+F7)/3)-$R$27)/1.15*700/10)</f>
        <v>0.36521739130434816</v>
      </c>
      <c r="I7" s="10"/>
      <c r="J7" s="58">
        <f aca="true" t="shared" si="0" ref="J7:J33">IF(D7=0,"",VLOOKUP(C7,PosAdjTable,2,0))</f>
        <v>1.25</v>
      </c>
      <c r="K7" s="10">
        <v>0</v>
      </c>
      <c r="L7" s="58">
        <f>IF(D7=0,"",IF(C$3="N",2,2.5))</f>
        <v>2.5</v>
      </c>
      <c r="M7" s="58">
        <f aca="true" t="shared" si="1" ref="M7:M33">IF(D7=0,"",SUM(H7:L7))</f>
        <v>4.115217391304348</v>
      </c>
      <c r="N7" s="37">
        <f aca="true" t="shared" si="2" ref="N7:N34">IF(D7=0,"",O7*$D$3+0.4)</f>
        <v>12.35764596273292</v>
      </c>
      <c r="O7" s="41">
        <f aca="true" t="shared" si="3" ref="O7:O33">IF(D7=0,"",M7/700*D7)</f>
        <v>2.6572546583850936</v>
      </c>
      <c r="Q7" s="30" t="s">
        <v>33</v>
      </c>
      <c r="R7" s="23">
        <f>H34*D34/700</f>
        <v>8.075826086956521</v>
      </c>
      <c r="S7" s="31"/>
    </row>
    <row r="8" spans="2:19" ht="12.75">
      <c r="B8" s="3" t="s">
        <v>71</v>
      </c>
      <c r="C8" s="16" t="s">
        <v>6</v>
      </c>
      <c r="D8" s="4">
        <v>191</v>
      </c>
      <c r="E8" s="5"/>
      <c r="F8" s="5"/>
      <c r="G8" s="5">
        <v>0.317</v>
      </c>
      <c r="H8" s="59">
        <f aca="true" t="shared" si="4" ref="H8:H33">IF(D8=0,"",(IF(H$3,G8,(1.75*E8+F8)/3)-$R$27)/1.15*700/10)</f>
        <v>-0.24347826086956545</v>
      </c>
      <c r="I8" s="6"/>
      <c r="J8" s="59">
        <f t="shared" si="0"/>
        <v>1.25</v>
      </c>
      <c r="K8" s="6">
        <v>0</v>
      </c>
      <c r="L8" s="59">
        <f aca="true" t="shared" si="5" ref="L8:L33">IF(D8=0,"",IF(C$3="N",2,2.5))</f>
        <v>2.5</v>
      </c>
      <c r="M8" s="59">
        <f t="shared" si="1"/>
        <v>3.5065217391304344</v>
      </c>
      <c r="N8" s="38">
        <f t="shared" si="2"/>
        <v>4.705507763975155</v>
      </c>
      <c r="O8" s="42">
        <f t="shared" si="3"/>
        <v>0.9567795031055899</v>
      </c>
      <c r="Q8" s="30" t="s">
        <v>3</v>
      </c>
      <c r="R8" s="23">
        <f>I34*D34/700</f>
        <v>0</v>
      </c>
      <c r="S8" s="31"/>
    </row>
    <row r="9" spans="2:19" ht="12.75">
      <c r="B9" s="11" t="s">
        <v>72</v>
      </c>
      <c r="C9" s="17" t="s">
        <v>6</v>
      </c>
      <c r="D9" s="12">
        <v>52</v>
      </c>
      <c r="E9" s="13"/>
      <c r="F9" s="13"/>
      <c r="G9" s="13">
        <v>0.286</v>
      </c>
      <c r="H9" s="60">
        <f t="shared" si="4"/>
        <v>-2.130434782608698</v>
      </c>
      <c r="I9" s="14"/>
      <c r="J9" s="60">
        <f t="shared" si="0"/>
        <v>1.25</v>
      </c>
      <c r="K9" s="14">
        <v>0</v>
      </c>
      <c r="L9" s="60">
        <f t="shared" si="5"/>
        <v>2.5</v>
      </c>
      <c r="M9" s="60">
        <f t="shared" si="1"/>
        <v>1.619565217391302</v>
      </c>
      <c r="N9" s="39">
        <f t="shared" si="2"/>
        <v>0.9413975155279495</v>
      </c>
      <c r="O9" s="43">
        <f t="shared" si="3"/>
        <v>0.120310559006211</v>
      </c>
      <c r="Q9" s="30" t="s">
        <v>4</v>
      </c>
      <c r="R9" s="23">
        <f>K34*D34/700</f>
        <v>2.1592857142857143</v>
      </c>
      <c r="S9" s="31"/>
    </row>
    <row r="10" spans="2:19" ht="12.75">
      <c r="B10" s="7" t="s">
        <v>58</v>
      </c>
      <c r="C10" s="15" t="s">
        <v>7</v>
      </c>
      <c r="D10" s="8">
        <v>681</v>
      </c>
      <c r="E10" s="9"/>
      <c r="F10" s="9"/>
      <c r="G10" s="9">
        <v>0.417</v>
      </c>
      <c r="H10" s="58">
        <f t="shared" si="4"/>
        <v>5.8434782608695635</v>
      </c>
      <c r="I10" s="10"/>
      <c r="J10" s="58">
        <f t="shared" si="0"/>
        <v>-1.25</v>
      </c>
      <c r="K10" s="10">
        <v>0.5</v>
      </c>
      <c r="L10" s="58">
        <f t="shared" si="5"/>
        <v>2.5</v>
      </c>
      <c r="M10" s="58">
        <f t="shared" si="1"/>
        <v>7.5934782608695635</v>
      </c>
      <c r="N10" s="37">
        <f t="shared" si="2"/>
        <v>33.64316304347825</v>
      </c>
      <c r="O10" s="41">
        <f t="shared" si="3"/>
        <v>7.38736956521739</v>
      </c>
      <c r="Q10" s="30" t="s">
        <v>30</v>
      </c>
      <c r="R10" s="23"/>
      <c r="S10" s="31">
        <f>O34</f>
        <v>30.588683229813668</v>
      </c>
    </row>
    <row r="11" spans="2:19" ht="12.75">
      <c r="B11" s="3" t="s">
        <v>63</v>
      </c>
      <c r="C11" s="16" t="s">
        <v>7</v>
      </c>
      <c r="D11" s="4">
        <v>14</v>
      </c>
      <c r="E11" s="5"/>
      <c r="F11" s="5"/>
      <c r="G11" s="5">
        <v>0.36</v>
      </c>
      <c r="H11" s="59">
        <f t="shared" si="4"/>
        <v>2.3739130434782596</v>
      </c>
      <c r="I11" s="6"/>
      <c r="J11" s="59">
        <f t="shared" si="0"/>
        <v>-1.25</v>
      </c>
      <c r="K11" s="6">
        <v>0</v>
      </c>
      <c r="L11" s="59">
        <f t="shared" si="5"/>
        <v>2.5</v>
      </c>
      <c r="M11" s="59">
        <f t="shared" si="1"/>
        <v>3.6239130434782596</v>
      </c>
      <c r="N11" s="38">
        <f t="shared" si="2"/>
        <v>0.7261521739130434</v>
      </c>
      <c r="O11" s="42">
        <f t="shared" si="3"/>
        <v>0.07247826086956519</v>
      </c>
      <c r="Q11" s="30" t="s">
        <v>31</v>
      </c>
      <c r="R11" s="23"/>
      <c r="S11" s="31">
        <f>H61</f>
        <v>16.492568163646073</v>
      </c>
    </row>
    <row r="12" spans="2:20" ht="12.75">
      <c r="B12" s="11"/>
      <c r="C12" s="17" t="s">
        <v>7</v>
      </c>
      <c r="D12" s="12"/>
      <c r="E12" s="13"/>
      <c r="F12" s="13"/>
      <c r="G12" s="13"/>
      <c r="H12" s="60">
        <f t="shared" si="4"/>
      </c>
      <c r="I12" s="14"/>
      <c r="J12" s="60">
        <f t="shared" si="0"/>
      </c>
      <c r="K12" s="14"/>
      <c r="L12" s="60">
        <f t="shared" si="5"/>
      </c>
      <c r="M12" s="60">
        <f t="shared" si="1"/>
      </c>
      <c r="N12" s="39">
        <f t="shared" si="2"/>
      </c>
      <c r="O12" s="43">
        <f t="shared" si="3"/>
      </c>
      <c r="Q12" s="65" t="s">
        <v>54</v>
      </c>
      <c r="R12" s="66"/>
      <c r="S12" s="41">
        <f>SUM(S10,S11)</f>
        <v>47.08125139345974</v>
      </c>
      <c r="T12" s="52"/>
    </row>
    <row r="13" spans="2:19" ht="12.75">
      <c r="B13" s="7" t="s">
        <v>59</v>
      </c>
      <c r="C13" s="15" t="s">
        <v>8</v>
      </c>
      <c r="D13" s="8">
        <v>628</v>
      </c>
      <c r="E13" s="9"/>
      <c r="F13" s="9"/>
      <c r="G13" s="9">
        <v>0.329</v>
      </c>
      <c r="H13" s="58">
        <f t="shared" si="4"/>
        <v>0.4869565217391309</v>
      </c>
      <c r="I13" s="10"/>
      <c r="J13" s="58">
        <f t="shared" si="0"/>
        <v>0.25</v>
      </c>
      <c r="K13" s="10">
        <v>0.5</v>
      </c>
      <c r="L13" s="58">
        <f t="shared" si="5"/>
        <v>2.5</v>
      </c>
      <c r="M13" s="58">
        <f t="shared" si="1"/>
        <v>3.736956521739131</v>
      </c>
      <c r="N13" s="37">
        <f t="shared" si="2"/>
        <v>15.48662732919255</v>
      </c>
      <c r="O13" s="41">
        <f t="shared" si="3"/>
        <v>3.3525838509316777</v>
      </c>
      <c r="Q13" s="67" t="s">
        <v>55</v>
      </c>
      <c r="R13" s="68"/>
      <c r="S13" s="69">
        <f>SUM(N34,G61)</f>
        <v>212.66563127056884</v>
      </c>
    </row>
    <row r="14" spans="2:19" ht="12.75">
      <c r="B14" s="3" t="s">
        <v>73</v>
      </c>
      <c r="C14" s="16" t="s">
        <v>8</v>
      </c>
      <c r="D14" s="4">
        <v>67</v>
      </c>
      <c r="E14" s="5"/>
      <c r="F14" s="5"/>
      <c r="G14" s="5">
        <v>0.278</v>
      </c>
      <c r="H14" s="59">
        <f t="shared" si="4"/>
        <v>-2.617391304347825</v>
      </c>
      <c r="I14" s="6"/>
      <c r="J14" s="59">
        <f t="shared" si="0"/>
        <v>0.25</v>
      </c>
      <c r="K14" s="6">
        <v>0</v>
      </c>
      <c r="L14" s="59">
        <f t="shared" si="5"/>
        <v>2.5</v>
      </c>
      <c r="M14" s="59">
        <f t="shared" si="1"/>
        <v>0.1326086956521748</v>
      </c>
      <c r="N14" s="38">
        <f t="shared" si="2"/>
        <v>0.4571164596273296</v>
      </c>
      <c r="O14" s="42">
        <f t="shared" si="3"/>
        <v>0.012692546583851017</v>
      </c>
      <c r="Q14" s="63" t="s">
        <v>45</v>
      </c>
      <c r="R14" s="64"/>
      <c r="S14" s="61">
        <f>S12+IF(C3="N",48.5,43.5)</f>
        <v>90.58125139345974</v>
      </c>
    </row>
    <row r="15" spans="2:15" ht="12.75">
      <c r="B15" s="11"/>
      <c r="C15" s="17" t="s">
        <v>8</v>
      </c>
      <c r="D15" s="12"/>
      <c r="E15" s="13"/>
      <c r="F15" s="13"/>
      <c r="G15" s="13"/>
      <c r="H15" s="60">
        <f t="shared" si="4"/>
      </c>
      <c r="I15" s="14"/>
      <c r="J15" s="60">
        <f t="shared" si="0"/>
      </c>
      <c r="K15" s="14"/>
      <c r="L15" s="60">
        <f t="shared" si="5"/>
      </c>
      <c r="M15" s="60">
        <f t="shared" si="1"/>
      </c>
      <c r="N15" s="39">
        <f t="shared" si="2"/>
      </c>
      <c r="O15" s="43">
        <f t="shared" si="3"/>
      </c>
    </row>
    <row r="16" spans="2:18" ht="12.75">
      <c r="B16" s="7" t="s">
        <v>60</v>
      </c>
      <c r="C16" s="15" t="s">
        <v>9</v>
      </c>
      <c r="D16" s="8">
        <v>612</v>
      </c>
      <c r="E16" s="9"/>
      <c r="F16" s="9"/>
      <c r="G16" s="9">
        <v>0.312</v>
      </c>
      <c r="H16" s="58">
        <f t="shared" si="4"/>
        <v>-0.5478260869565224</v>
      </c>
      <c r="I16" s="10"/>
      <c r="J16" s="58">
        <f t="shared" si="0"/>
        <v>0.75</v>
      </c>
      <c r="K16" s="10">
        <v>0.5</v>
      </c>
      <c r="L16" s="58">
        <f t="shared" si="5"/>
        <v>2.5</v>
      </c>
      <c r="M16" s="58">
        <f t="shared" si="1"/>
        <v>3.2021739130434774</v>
      </c>
      <c r="N16" s="37">
        <f t="shared" si="2"/>
        <v>12.998267080745338</v>
      </c>
      <c r="O16" s="41">
        <f t="shared" si="3"/>
        <v>2.7996149068322973</v>
      </c>
      <c r="Q16" s="32" t="s">
        <v>50</v>
      </c>
      <c r="R16" s="55"/>
    </row>
    <row r="17" spans="2:18" ht="12.75">
      <c r="B17" s="3" t="s">
        <v>70</v>
      </c>
      <c r="C17" s="16" t="s">
        <v>9</v>
      </c>
      <c r="D17" s="4">
        <v>83</v>
      </c>
      <c r="E17" s="5"/>
      <c r="F17" s="5"/>
      <c r="G17" s="5">
        <v>0.317</v>
      </c>
      <c r="H17" s="59">
        <f t="shared" si="4"/>
        <v>-0.24347826086956545</v>
      </c>
      <c r="I17" s="6"/>
      <c r="J17" s="59">
        <f t="shared" si="0"/>
        <v>0.75</v>
      </c>
      <c r="K17" s="6">
        <v>0.5</v>
      </c>
      <c r="L17" s="59">
        <f t="shared" si="5"/>
        <v>2.5</v>
      </c>
      <c r="M17" s="59">
        <f t="shared" si="1"/>
        <v>3.5065217391304344</v>
      </c>
      <c r="N17" s="38">
        <f t="shared" si="2"/>
        <v>2.270979813664596</v>
      </c>
      <c r="O17" s="42">
        <f t="shared" si="3"/>
        <v>0.41577329192546575</v>
      </c>
      <c r="Q17" s="30">
        <v>61</v>
      </c>
      <c r="R17" s="53">
        <f>1-BINOMDIST(Q17,162,$S$14/162,1)</f>
        <v>0.999997752117754</v>
      </c>
    </row>
    <row r="18" spans="2:18" ht="12.75">
      <c r="B18" s="11"/>
      <c r="C18" s="17" t="s">
        <v>9</v>
      </c>
      <c r="D18" s="12"/>
      <c r="E18" s="13"/>
      <c r="F18" s="13"/>
      <c r="G18" s="13"/>
      <c r="H18" s="60">
        <f t="shared" si="4"/>
      </c>
      <c r="I18" s="14"/>
      <c r="J18" s="60">
        <f t="shared" si="0"/>
      </c>
      <c r="K18" s="14"/>
      <c r="L18" s="60">
        <f t="shared" si="5"/>
      </c>
      <c r="M18" s="60">
        <f t="shared" si="1"/>
      </c>
      <c r="N18" s="39">
        <f t="shared" si="2"/>
      </c>
      <c r="O18" s="43">
        <f t="shared" si="3"/>
      </c>
      <c r="Q18" s="30">
        <v>66</v>
      </c>
      <c r="R18" s="53">
        <f aca="true" t="shared" si="6" ref="R18:R25">1-BINOMDIST(Q18,162,$S$14/162,1)</f>
        <v>0.9999262460126926</v>
      </c>
    </row>
    <row r="19" spans="2:18" ht="12.75">
      <c r="B19" s="7" t="s">
        <v>66</v>
      </c>
      <c r="C19" s="15" t="s">
        <v>10</v>
      </c>
      <c r="D19" s="8">
        <v>359</v>
      </c>
      <c r="E19" s="9"/>
      <c r="F19" s="9"/>
      <c r="G19" s="9">
        <v>0.328</v>
      </c>
      <c r="H19" s="58">
        <f t="shared" si="4"/>
        <v>0.4260869565217395</v>
      </c>
      <c r="I19" s="10"/>
      <c r="J19" s="58">
        <f t="shared" si="0"/>
        <v>0.25</v>
      </c>
      <c r="K19" s="10">
        <v>-1.5</v>
      </c>
      <c r="L19" s="58">
        <f t="shared" si="5"/>
        <v>2.5</v>
      </c>
      <c r="M19" s="58">
        <f t="shared" si="1"/>
        <v>1.6760869565217396</v>
      </c>
      <c r="N19" s="37">
        <f t="shared" si="2"/>
        <v>4.268169254658386</v>
      </c>
      <c r="O19" s="41">
        <f t="shared" si="3"/>
        <v>0.8595931677018637</v>
      </c>
      <c r="Q19" s="30">
        <v>71</v>
      </c>
      <c r="R19" s="53">
        <f t="shared" si="6"/>
        <v>0.9986805026025942</v>
      </c>
    </row>
    <row r="20" spans="2:18" ht="12.75">
      <c r="B20" s="3" t="s">
        <v>69</v>
      </c>
      <c r="C20" s="16" t="s">
        <v>10</v>
      </c>
      <c r="D20" s="4">
        <v>336</v>
      </c>
      <c r="E20" s="5"/>
      <c r="F20" s="5"/>
      <c r="G20" s="5">
        <v>0.317</v>
      </c>
      <c r="H20" s="59">
        <f t="shared" si="4"/>
        <v>-0.24347826086956545</v>
      </c>
      <c r="I20" s="6"/>
      <c r="J20" s="59">
        <f t="shared" si="0"/>
        <v>0.25</v>
      </c>
      <c r="K20" s="6">
        <v>0.5</v>
      </c>
      <c r="L20" s="59">
        <f t="shared" si="5"/>
        <v>2.5</v>
      </c>
      <c r="M20" s="59">
        <f t="shared" si="1"/>
        <v>3.0065217391304344</v>
      </c>
      <c r="N20" s="38">
        <f t="shared" si="2"/>
        <v>6.894086956521738</v>
      </c>
      <c r="O20" s="42">
        <f t="shared" si="3"/>
        <v>1.4431304347826084</v>
      </c>
      <c r="Q20" s="30">
        <v>76</v>
      </c>
      <c r="R20" s="53">
        <f t="shared" si="6"/>
        <v>0.9868093840756231</v>
      </c>
    </row>
    <row r="21" spans="2:18" ht="12.75">
      <c r="B21" s="11"/>
      <c r="C21" s="17" t="s">
        <v>10</v>
      </c>
      <c r="D21" s="12"/>
      <c r="E21" s="13"/>
      <c r="F21" s="13"/>
      <c r="G21" s="13"/>
      <c r="H21" s="60">
        <f t="shared" si="4"/>
      </c>
      <c r="I21" s="14"/>
      <c r="J21" s="60">
        <f t="shared" si="0"/>
      </c>
      <c r="K21" s="14"/>
      <c r="L21" s="60">
        <f t="shared" si="5"/>
      </c>
      <c r="M21" s="60">
        <f t="shared" si="1"/>
      </c>
      <c r="N21" s="39">
        <f t="shared" si="2"/>
      </c>
      <c r="O21" s="43">
        <f t="shared" si="3"/>
      </c>
      <c r="Q21" s="30">
        <v>81</v>
      </c>
      <c r="R21" s="53">
        <f t="shared" si="6"/>
        <v>0.9242947920303813</v>
      </c>
    </row>
    <row r="22" spans="2:18" ht="12.75">
      <c r="B22" s="7" t="s">
        <v>65</v>
      </c>
      <c r="C22" s="15" t="s">
        <v>11</v>
      </c>
      <c r="D22" s="8">
        <v>485</v>
      </c>
      <c r="E22" s="9"/>
      <c r="F22" s="9"/>
      <c r="G22" s="9">
        <v>0.318</v>
      </c>
      <c r="H22" s="58">
        <f t="shared" si="4"/>
        <v>-0.18260869565217408</v>
      </c>
      <c r="I22" s="10"/>
      <c r="J22" s="58">
        <f t="shared" si="0"/>
        <v>-0.75</v>
      </c>
      <c r="K22" s="10">
        <v>0</v>
      </c>
      <c r="L22" s="58">
        <f t="shared" si="5"/>
        <v>2.5</v>
      </c>
      <c r="M22" s="58">
        <f t="shared" si="1"/>
        <v>1.5673913043478258</v>
      </c>
      <c r="N22" s="37">
        <f t="shared" si="2"/>
        <v>5.286902173913043</v>
      </c>
      <c r="O22" s="41">
        <f t="shared" si="3"/>
        <v>1.085978260869565</v>
      </c>
      <c r="Q22" s="30">
        <v>86</v>
      </c>
      <c r="R22" s="53">
        <f t="shared" si="6"/>
        <v>0.7413367740965537</v>
      </c>
    </row>
    <row r="23" spans="2:18" ht="12.75">
      <c r="B23" s="3" t="s">
        <v>67</v>
      </c>
      <c r="C23" s="16" t="s">
        <v>11</v>
      </c>
      <c r="D23" s="4">
        <v>210</v>
      </c>
      <c r="E23" s="5"/>
      <c r="F23" s="5"/>
      <c r="G23" s="5">
        <v>0.329</v>
      </c>
      <c r="H23" s="59">
        <f t="shared" si="4"/>
        <v>0.4869565217391309</v>
      </c>
      <c r="I23" s="6"/>
      <c r="J23" s="59">
        <f t="shared" si="0"/>
        <v>-0.75</v>
      </c>
      <c r="K23" s="6">
        <v>2</v>
      </c>
      <c r="L23" s="59">
        <f t="shared" si="5"/>
        <v>2.5</v>
      </c>
      <c r="M23" s="59">
        <f t="shared" si="1"/>
        <v>4.236956521739131</v>
      </c>
      <c r="N23" s="38">
        <f t="shared" si="2"/>
        <v>6.119891304347827</v>
      </c>
      <c r="O23" s="42">
        <f t="shared" si="3"/>
        <v>1.2710869565217393</v>
      </c>
      <c r="Q23" s="30">
        <v>91</v>
      </c>
      <c r="R23" s="53">
        <f t="shared" si="6"/>
        <v>0.4434411862963119</v>
      </c>
    </row>
    <row r="24" spans="2:18" ht="12.75">
      <c r="B24" s="11"/>
      <c r="C24" s="17" t="s">
        <v>11</v>
      </c>
      <c r="D24" s="12"/>
      <c r="E24" s="13"/>
      <c r="F24" s="13"/>
      <c r="G24" s="13"/>
      <c r="H24" s="60">
        <f t="shared" si="4"/>
      </c>
      <c r="I24" s="14"/>
      <c r="J24" s="60">
        <f t="shared" si="0"/>
      </c>
      <c r="K24" s="14"/>
      <c r="L24" s="60">
        <f t="shared" si="5"/>
      </c>
      <c r="M24" s="60">
        <f t="shared" si="1"/>
      </c>
      <c r="N24" s="39">
        <f t="shared" si="2"/>
      </c>
      <c r="O24" s="43">
        <f t="shared" si="3"/>
      </c>
      <c r="Q24" s="30">
        <v>96</v>
      </c>
      <c r="R24" s="53">
        <f t="shared" si="6"/>
        <v>0.17459125818025412</v>
      </c>
    </row>
    <row r="25" spans="2:18" ht="12.75">
      <c r="B25" s="7" t="s">
        <v>61</v>
      </c>
      <c r="C25" s="15" t="s">
        <v>12</v>
      </c>
      <c r="D25" s="8">
        <v>584</v>
      </c>
      <c r="E25" s="9"/>
      <c r="F25" s="9"/>
      <c r="G25" s="9">
        <v>0.325</v>
      </c>
      <c r="H25" s="58">
        <f t="shared" si="4"/>
        <v>0.24347826086956545</v>
      </c>
      <c r="I25" s="10"/>
      <c r="J25" s="58">
        <f t="shared" si="0"/>
        <v>0.25</v>
      </c>
      <c r="K25" s="10">
        <v>1</v>
      </c>
      <c r="L25" s="58">
        <f t="shared" si="5"/>
        <v>2.5</v>
      </c>
      <c r="M25" s="58">
        <f t="shared" si="1"/>
        <v>3.9934782608695656</v>
      </c>
      <c r="N25" s="37">
        <f t="shared" si="2"/>
        <v>15.39265838509317</v>
      </c>
      <c r="O25" s="41">
        <f t="shared" si="3"/>
        <v>3.331701863354038</v>
      </c>
      <c r="Q25" s="20">
        <v>101</v>
      </c>
      <c r="R25" s="54">
        <f t="shared" si="6"/>
        <v>0.04128292808890588</v>
      </c>
    </row>
    <row r="26" spans="2:15" ht="12.75">
      <c r="B26" s="3" t="s">
        <v>67</v>
      </c>
      <c r="C26" s="16" t="s">
        <v>12</v>
      </c>
      <c r="D26" s="4">
        <v>111</v>
      </c>
      <c r="E26" s="5"/>
      <c r="F26" s="5"/>
      <c r="G26" s="5">
        <v>0.329</v>
      </c>
      <c r="H26" s="59">
        <f t="shared" si="4"/>
        <v>0.4869565217391309</v>
      </c>
      <c r="I26" s="6"/>
      <c r="J26" s="59">
        <f t="shared" si="0"/>
        <v>0.25</v>
      </c>
      <c r="K26" s="6">
        <v>1</v>
      </c>
      <c r="L26" s="59">
        <f t="shared" si="5"/>
        <v>2.5</v>
      </c>
      <c r="M26" s="59">
        <f t="shared" si="1"/>
        <v>4.236956521739131</v>
      </c>
      <c r="N26" s="38">
        <f t="shared" si="2"/>
        <v>3.4233711180124224</v>
      </c>
      <c r="O26" s="42">
        <f t="shared" si="3"/>
        <v>0.671860248447205</v>
      </c>
    </row>
    <row r="27" spans="2:18" ht="12.75">
      <c r="B27" s="11"/>
      <c r="C27" s="17" t="s">
        <v>12</v>
      </c>
      <c r="D27" s="12"/>
      <c r="E27" s="13"/>
      <c r="F27" s="13"/>
      <c r="G27" s="13"/>
      <c r="H27" s="60">
        <f t="shared" si="4"/>
      </c>
      <c r="I27" s="14"/>
      <c r="J27" s="60">
        <f t="shared" si="0"/>
      </c>
      <c r="K27" s="14"/>
      <c r="L27" s="60">
        <f t="shared" si="5"/>
      </c>
      <c r="M27" s="60">
        <f t="shared" si="1"/>
      </c>
      <c r="N27" s="39">
        <f t="shared" si="2"/>
      </c>
      <c r="O27" s="43">
        <f t="shared" si="3"/>
      </c>
      <c r="Q27" s="70" t="s">
        <v>56</v>
      </c>
      <c r="R27" s="73">
        <v>0.321</v>
      </c>
    </row>
    <row r="28" spans="2:18" ht="12.75">
      <c r="B28" s="7" t="s">
        <v>62</v>
      </c>
      <c r="C28" s="15" t="s">
        <v>13</v>
      </c>
      <c r="D28" s="8">
        <v>620</v>
      </c>
      <c r="E28" s="9"/>
      <c r="F28" s="9"/>
      <c r="G28" s="9">
        <v>0.334</v>
      </c>
      <c r="H28" s="58">
        <f t="shared" si="4"/>
        <v>0.7913043478260877</v>
      </c>
      <c r="I28" s="10"/>
      <c r="J28" s="58">
        <f t="shared" si="0"/>
        <v>-0.75</v>
      </c>
      <c r="K28" s="10">
        <v>-0.5</v>
      </c>
      <c r="L28" s="58">
        <f t="shared" si="5"/>
        <v>2.5</v>
      </c>
      <c r="M28" s="58">
        <f t="shared" si="1"/>
        <v>2.0413043478260877</v>
      </c>
      <c r="N28" s="37">
        <f t="shared" si="2"/>
        <v>8.536055900621122</v>
      </c>
      <c r="O28" s="41">
        <f t="shared" si="3"/>
        <v>1.8080124223602492</v>
      </c>
      <c r="Q28" s="71" t="s">
        <v>57</v>
      </c>
      <c r="R28" s="72">
        <v>4.08</v>
      </c>
    </row>
    <row r="29" spans="2:15" ht="12.75">
      <c r="B29" s="3" t="s">
        <v>67</v>
      </c>
      <c r="C29" s="16" t="s">
        <v>13</v>
      </c>
      <c r="D29" s="4">
        <v>75</v>
      </c>
      <c r="E29" s="5"/>
      <c r="F29" s="5"/>
      <c r="G29" s="5">
        <v>0.329</v>
      </c>
      <c r="H29" s="59">
        <f t="shared" si="4"/>
        <v>0.4869565217391309</v>
      </c>
      <c r="I29" s="6"/>
      <c r="J29" s="59">
        <f t="shared" si="0"/>
        <v>-0.75</v>
      </c>
      <c r="K29" s="6">
        <v>1</v>
      </c>
      <c r="L29" s="59">
        <f t="shared" si="5"/>
        <v>2.5</v>
      </c>
      <c r="M29" s="59">
        <f t="shared" si="1"/>
        <v>3.236956521739131</v>
      </c>
      <c r="N29" s="38">
        <f t="shared" si="2"/>
        <v>1.9606754658385097</v>
      </c>
      <c r="O29" s="42">
        <f t="shared" si="3"/>
        <v>0.3468167701863355</v>
      </c>
    </row>
    <row r="30" spans="2:15" ht="12.75">
      <c r="B30" s="11"/>
      <c r="C30" s="17" t="s">
        <v>13</v>
      </c>
      <c r="D30" s="12"/>
      <c r="E30" s="13"/>
      <c r="F30" s="13"/>
      <c r="G30" s="13"/>
      <c r="H30" s="60">
        <f t="shared" si="4"/>
      </c>
      <c r="I30" s="14"/>
      <c r="J30" s="60">
        <f t="shared" si="0"/>
      </c>
      <c r="K30" s="14"/>
      <c r="L30" s="60">
        <f t="shared" si="5"/>
      </c>
      <c r="M30" s="60">
        <f t="shared" si="1"/>
      </c>
      <c r="N30" s="39">
        <f t="shared" si="2"/>
      </c>
      <c r="O30" s="43">
        <f t="shared" si="3"/>
      </c>
    </row>
    <row r="31" spans="2:15" ht="12.75">
      <c r="B31" s="7" t="s">
        <v>63</v>
      </c>
      <c r="C31" s="15" t="s">
        <v>14</v>
      </c>
      <c r="D31" s="8">
        <v>421</v>
      </c>
      <c r="E31" s="9"/>
      <c r="F31" s="9"/>
      <c r="G31" s="9">
        <v>0.36</v>
      </c>
      <c r="H31" s="58">
        <f t="shared" si="4"/>
        <v>2.3739130434782596</v>
      </c>
      <c r="I31" s="10"/>
      <c r="J31" s="58">
        <f t="shared" si="0"/>
        <v>-2</v>
      </c>
      <c r="K31" s="58"/>
      <c r="L31" s="58">
        <f t="shared" si="5"/>
        <v>2.5</v>
      </c>
      <c r="M31" s="58">
        <f t="shared" si="1"/>
        <v>2.8739130434782596</v>
      </c>
      <c r="N31" s="37">
        <f t="shared" si="2"/>
        <v>8.178040372670804</v>
      </c>
      <c r="O31" s="41">
        <f t="shared" si="3"/>
        <v>1.7284534161490674</v>
      </c>
    </row>
    <row r="32" spans="2:15" ht="12.75">
      <c r="B32" s="3" t="s">
        <v>68</v>
      </c>
      <c r="C32" s="16" t="s">
        <v>14</v>
      </c>
      <c r="D32" s="4">
        <v>274</v>
      </c>
      <c r="E32" s="5"/>
      <c r="F32" s="5"/>
      <c r="G32" s="5">
        <v>0.324</v>
      </c>
      <c r="H32" s="59">
        <f t="shared" si="4"/>
        <v>0.18260869565217408</v>
      </c>
      <c r="I32" s="6"/>
      <c r="J32" s="59">
        <f t="shared" si="0"/>
        <v>-2</v>
      </c>
      <c r="K32" s="59"/>
      <c r="L32" s="59">
        <f t="shared" si="5"/>
        <v>2.5</v>
      </c>
      <c r="M32" s="59">
        <f t="shared" si="1"/>
        <v>0.6826086956521742</v>
      </c>
      <c r="N32" s="38">
        <f t="shared" si="2"/>
        <v>1.60236645962733</v>
      </c>
      <c r="O32" s="42">
        <f t="shared" si="3"/>
        <v>0.26719254658385105</v>
      </c>
    </row>
    <row r="33" spans="2:15" ht="12.75">
      <c r="B33" s="11"/>
      <c r="C33" s="17" t="s">
        <v>14</v>
      </c>
      <c r="D33" s="12"/>
      <c r="E33" s="13"/>
      <c r="F33" s="13"/>
      <c r="G33" s="13"/>
      <c r="H33" s="60">
        <f t="shared" si="4"/>
      </c>
      <c r="I33" s="14"/>
      <c r="J33" s="60">
        <f t="shared" si="0"/>
      </c>
      <c r="K33" s="60"/>
      <c r="L33" s="60">
        <f t="shared" si="5"/>
      </c>
      <c r="M33" s="60">
        <f t="shared" si="1"/>
      </c>
      <c r="N33" s="39">
        <f t="shared" si="2"/>
      </c>
      <c r="O33" s="43">
        <f t="shared" si="3"/>
      </c>
    </row>
    <row r="34" spans="2:15" ht="12.75">
      <c r="B34" s="20" t="s">
        <v>17</v>
      </c>
      <c r="C34" s="17"/>
      <c r="D34" s="17">
        <f>SUM(D7:D33)</f>
        <v>6255</v>
      </c>
      <c r="E34" s="29">
        <f>IF($H$3,"",SUMPRODUCT($D7:$D33,E7:E33)/SUM($D7:$D33))</f>
      </c>
      <c r="F34" s="29">
        <f>IF($H$3,"",SUMPRODUCT($D7:$D33,F7:F33)/SUM($D7:$D33))</f>
      </c>
      <c r="G34" s="29">
        <f>IF(H3,SUMPRODUCT(G7:G33,$D7:$D33)/SUM($D7:$D33),(1.75*E34+F34)/3)</f>
        <v>0.3358476418864907</v>
      </c>
      <c r="H34" s="60">
        <f>SUMPRODUCT(H7:H33,$D7:$D33)/SUM($D7:$D33)</f>
        <v>0.9037695061342231</v>
      </c>
      <c r="I34" s="60">
        <f>SUMPRODUCT(I7:I33,$D7:$D33)/SUM($D7:$D33)</f>
        <v>0</v>
      </c>
      <c r="J34" s="60">
        <f>SUMPRODUCT(J7:J33,$D7:$D33)/SUM($D7:$D33)</f>
        <v>-0.2222222222222222</v>
      </c>
      <c r="K34" s="60">
        <f>SUMPRODUCT(K7:K33,$D7:$D33)/SUM($D7:$D33)</f>
        <v>0.2416466826538769</v>
      </c>
      <c r="L34" s="60"/>
      <c r="M34" s="60">
        <f>SUMPRODUCT(M7:M33,$D7:$D33)/SUM($D7:$D33)</f>
        <v>3.4231939665658775</v>
      </c>
      <c r="N34" s="40">
        <f t="shared" si="2"/>
        <v>138.04907453416152</v>
      </c>
      <c r="O34" s="61">
        <f>SUM(O7:O33)</f>
        <v>30.588683229813668</v>
      </c>
    </row>
    <row r="36" spans="2:8" ht="12.75">
      <c r="B36" s="18" t="s">
        <v>49</v>
      </c>
      <c r="C36" s="15" t="s">
        <v>53</v>
      </c>
      <c r="D36" s="15"/>
      <c r="E36" s="19"/>
      <c r="F36" s="15"/>
      <c r="G36" s="15"/>
      <c r="H36" s="19"/>
    </row>
    <row r="37" spans="2:8" ht="12.75">
      <c r="B37" s="30"/>
      <c r="C37" s="16" t="s">
        <v>52</v>
      </c>
      <c r="D37" s="16"/>
      <c r="E37" s="16"/>
      <c r="F37" s="16"/>
      <c r="G37" s="16"/>
      <c r="H37" s="35"/>
    </row>
    <row r="38" spans="2:8" ht="12.75">
      <c r="B38" s="20"/>
      <c r="C38" s="17" t="s">
        <v>51</v>
      </c>
      <c r="D38" s="17"/>
      <c r="E38" s="17"/>
      <c r="F38" s="17"/>
      <c r="G38" s="17"/>
      <c r="H38" s="34"/>
    </row>
    <row r="40" spans="2:12" ht="12.75">
      <c r="B40" s="2" t="s">
        <v>20</v>
      </c>
      <c r="C40" s="47" t="s">
        <v>23</v>
      </c>
      <c r="D40" s="47" t="s">
        <v>21</v>
      </c>
      <c r="E40" s="47" t="s">
        <v>22</v>
      </c>
      <c r="F40" s="47" t="s">
        <v>25</v>
      </c>
      <c r="G40" s="46" t="s">
        <v>38</v>
      </c>
      <c r="H40" s="48" t="s">
        <v>5</v>
      </c>
      <c r="J40" s="51" t="s">
        <v>6</v>
      </c>
      <c r="K40" s="51">
        <v>1.25</v>
      </c>
      <c r="L40" s="51"/>
    </row>
    <row r="41" spans="2:12" ht="12.75">
      <c r="B41" s="7" t="s">
        <v>74</v>
      </c>
      <c r="C41" s="15" t="s">
        <v>24</v>
      </c>
      <c r="D41" s="8">
        <v>209</v>
      </c>
      <c r="E41" s="10">
        <v>3.8</v>
      </c>
      <c r="F41" s="27">
        <f>IF(ISBLANK(B41),"",1)</f>
        <v>1</v>
      </c>
      <c r="G41" s="37">
        <f>IF(ISBLANK(B41),"",H41*$D$3+0.4)</f>
        <v>17.379220537657385</v>
      </c>
      <c r="H41" s="41">
        <f>IF(ISBLANK(B41),"",((($R$28^1.83/($R$28^1.83+E41^1.83))-IF(C41="S",IF(C$3="N",0.39,0.37),IF(C$3="N",0.48,0.46)))*D41/9*F41))</f>
        <v>3.773160119479419</v>
      </c>
      <c r="J41" s="51" t="s">
        <v>7</v>
      </c>
      <c r="K41" s="51">
        <v>-1.25</v>
      </c>
      <c r="L41" s="51"/>
    </row>
    <row r="42" spans="2:12" ht="12.75">
      <c r="B42" s="3" t="s">
        <v>75</v>
      </c>
      <c r="C42" s="16" t="s">
        <v>24</v>
      </c>
      <c r="D42" s="4">
        <v>209</v>
      </c>
      <c r="E42" s="6">
        <v>4.19</v>
      </c>
      <c r="F42" s="23">
        <f aca="true" t="shared" si="7" ref="F42:F49">IF(ISBLANK(B42),"",1)</f>
        <v>1</v>
      </c>
      <c r="G42" s="38">
        <f aca="true" t="shared" si="8" ref="G42:G61">IF(ISBLANK(B42),"",H42*$D$3+0.4)</f>
        <v>12.7133593433631</v>
      </c>
      <c r="H42" s="42">
        <f aca="true" t="shared" si="9" ref="H42:H58">IF(ISBLANK(B42),"",((($R$28^1.83/($R$28^1.83+E42^1.83))-IF(C42="S",IF(C$3="N",0.39,0.37),IF(C$3="N",0.48,0.46)))*D42/9*F42))</f>
        <v>2.736302076302911</v>
      </c>
      <c r="J42" s="51" t="s">
        <v>8</v>
      </c>
      <c r="K42" s="51">
        <v>0.25</v>
      </c>
      <c r="L42" s="51"/>
    </row>
    <row r="43" spans="2:12" ht="12.75">
      <c r="B43" s="3" t="s">
        <v>76</v>
      </c>
      <c r="C43" s="16" t="s">
        <v>24</v>
      </c>
      <c r="D43" s="4">
        <v>191</v>
      </c>
      <c r="E43" s="6">
        <v>3.8</v>
      </c>
      <c r="F43" s="23">
        <f t="shared" si="7"/>
        <v>1</v>
      </c>
      <c r="G43" s="38">
        <f t="shared" si="8"/>
        <v>15.916895323887852</v>
      </c>
      <c r="H43" s="42">
        <f t="shared" si="9"/>
        <v>3.448198960863967</v>
      </c>
      <c r="J43" s="51" t="s">
        <v>10</v>
      </c>
      <c r="K43" s="51">
        <v>0.25</v>
      </c>
      <c r="L43" s="51"/>
    </row>
    <row r="44" spans="2:12" ht="12.75">
      <c r="B44" s="3" t="s">
        <v>77</v>
      </c>
      <c r="C44" s="16" t="s">
        <v>24</v>
      </c>
      <c r="D44" s="4">
        <v>190</v>
      </c>
      <c r="E44" s="6">
        <v>4.41</v>
      </c>
      <c r="F44" s="23">
        <f t="shared" si="7"/>
        <v>1</v>
      </c>
      <c r="G44" s="38">
        <f t="shared" si="8"/>
        <v>9.375282039553463</v>
      </c>
      <c r="H44" s="42">
        <f t="shared" si="9"/>
        <v>1.9945071199007696</v>
      </c>
      <c r="J44" s="51" t="s">
        <v>9</v>
      </c>
      <c r="K44" s="51">
        <v>0.75</v>
      </c>
      <c r="L44" s="51"/>
    </row>
    <row r="45" spans="2:12" ht="12.75">
      <c r="B45" s="3" t="s">
        <v>78</v>
      </c>
      <c r="C45" s="16" t="s">
        <v>24</v>
      </c>
      <c r="D45" s="4">
        <v>115</v>
      </c>
      <c r="E45" s="6">
        <v>4.39</v>
      </c>
      <c r="F45" s="23">
        <f t="shared" si="7"/>
        <v>1</v>
      </c>
      <c r="G45" s="38">
        <f t="shared" si="8"/>
        <v>5.951412532402138</v>
      </c>
      <c r="H45" s="42">
        <f t="shared" si="9"/>
        <v>1.2336472294226972</v>
      </c>
      <c r="J45" s="51" t="s">
        <v>11</v>
      </c>
      <c r="K45" s="51">
        <v>-0.75</v>
      </c>
      <c r="L45" s="51"/>
    </row>
    <row r="46" spans="2:12" ht="12.75">
      <c r="B46" s="3" t="s">
        <v>79</v>
      </c>
      <c r="C46" s="16" t="s">
        <v>24</v>
      </c>
      <c r="D46" s="4">
        <v>26</v>
      </c>
      <c r="E46" s="6">
        <v>4.59</v>
      </c>
      <c r="F46" s="23">
        <f t="shared" si="7"/>
        <v>1</v>
      </c>
      <c r="G46" s="38">
        <f t="shared" si="8"/>
        <v>1.3921849413518532</v>
      </c>
      <c r="H46" s="42">
        <f t="shared" si="9"/>
        <v>0.22048554252263405</v>
      </c>
      <c r="J46" s="51" t="s">
        <v>13</v>
      </c>
      <c r="K46" s="51">
        <v>-0.75</v>
      </c>
      <c r="L46" s="51"/>
    </row>
    <row r="47" spans="2:12" ht="12.75">
      <c r="B47" s="3"/>
      <c r="C47" s="16" t="s">
        <v>24</v>
      </c>
      <c r="D47" s="4"/>
      <c r="E47" s="6"/>
      <c r="F47" s="23">
        <f t="shared" si="7"/>
      </c>
      <c r="G47" s="38">
        <f t="shared" si="8"/>
      </c>
      <c r="H47" s="42">
        <f t="shared" si="9"/>
      </c>
      <c r="J47" s="51" t="s">
        <v>12</v>
      </c>
      <c r="K47" s="51">
        <v>0.25</v>
      </c>
      <c r="L47" s="51"/>
    </row>
    <row r="48" spans="2:12" ht="12.75">
      <c r="B48" s="3"/>
      <c r="C48" s="16" t="s">
        <v>24</v>
      </c>
      <c r="D48" s="4"/>
      <c r="E48" s="6"/>
      <c r="F48" s="23">
        <f t="shared" si="7"/>
      </c>
      <c r="G48" s="38">
        <f t="shared" si="8"/>
      </c>
      <c r="H48" s="42">
        <f t="shared" si="9"/>
      </c>
      <c r="J48" s="51" t="s">
        <v>14</v>
      </c>
      <c r="K48" s="51">
        <v>-2</v>
      </c>
      <c r="L48" s="51"/>
    </row>
    <row r="49" spans="2:12" ht="12.75">
      <c r="B49" s="11"/>
      <c r="C49" s="17" t="s">
        <v>24</v>
      </c>
      <c r="D49" s="12"/>
      <c r="E49" s="14"/>
      <c r="F49" s="28">
        <f t="shared" si="7"/>
      </c>
      <c r="G49" s="39">
        <f t="shared" si="8"/>
      </c>
      <c r="H49" s="43">
        <f t="shared" si="9"/>
      </c>
      <c r="J49" s="51" t="s">
        <v>15</v>
      </c>
      <c r="K49" s="51"/>
      <c r="L49" s="51"/>
    </row>
    <row r="50" spans="2:8" ht="12.75">
      <c r="B50" s="3" t="s">
        <v>80</v>
      </c>
      <c r="C50" s="16" t="s">
        <v>28</v>
      </c>
      <c r="D50" s="4">
        <v>66</v>
      </c>
      <c r="E50" s="6">
        <v>3.63</v>
      </c>
      <c r="F50" s="26">
        <v>1.8</v>
      </c>
      <c r="G50" s="38">
        <f t="shared" si="8"/>
        <v>5.9397975476202065</v>
      </c>
      <c r="H50" s="42">
        <f t="shared" si="9"/>
        <v>1.2310661216933791</v>
      </c>
    </row>
    <row r="51" spans="2:8" ht="12.75">
      <c r="B51" s="3" t="s">
        <v>82</v>
      </c>
      <c r="C51" s="16" t="s">
        <v>28</v>
      </c>
      <c r="D51" s="4">
        <v>60</v>
      </c>
      <c r="E51" s="6">
        <v>3.88</v>
      </c>
      <c r="F51" s="26">
        <v>1.3</v>
      </c>
      <c r="G51" s="38">
        <f t="shared" si="8"/>
        <v>2.8561650674190355</v>
      </c>
      <c r="H51" s="42">
        <f t="shared" si="9"/>
        <v>0.5458144594264523</v>
      </c>
    </row>
    <row r="52" spans="2:8" ht="12.75">
      <c r="B52" s="3" t="s">
        <v>83</v>
      </c>
      <c r="C52" s="16" t="s">
        <v>28</v>
      </c>
      <c r="D52" s="4">
        <v>60</v>
      </c>
      <c r="E52" s="6">
        <v>4.13</v>
      </c>
      <c r="F52" s="26">
        <v>1</v>
      </c>
      <c r="G52" s="38">
        <f t="shared" si="8"/>
        <v>1.4328306767770234</v>
      </c>
      <c r="H52" s="42">
        <f t="shared" si="9"/>
        <v>0.2295179281726719</v>
      </c>
    </row>
    <row r="53" spans="2:8" ht="12.75">
      <c r="B53" s="3" t="s">
        <v>84</v>
      </c>
      <c r="C53" s="16" t="s">
        <v>28</v>
      </c>
      <c r="D53" s="4">
        <v>50</v>
      </c>
      <c r="E53" s="6">
        <v>4.06</v>
      </c>
      <c r="F53" s="26">
        <v>0.9</v>
      </c>
      <c r="G53" s="38">
        <f t="shared" si="8"/>
        <v>1.3505832989933713</v>
      </c>
      <c r="H53" s="42">
        <f t="shared" si="9"/>
        <v>0.21124073310963803</v>
      </c>
    </row>
    <row r="54" spans="2:8" ht="12.75">
      <c r="B54" s="3" t="s">
        <v>85</v>
      </c>
      <c r="C54" s="16" t="s">
        <v>28</v>
      </c>
      <c r="D54" s="4">
        <v>49</v>
      </c>
      <c r="E54" s="6">
        <v>4.2</v>
      </c>
      <c r="F54" s="26">
        <v>0.8</v>
      </c>
      <c r="G54" s="38">
        <f t="shared" si="8"/>
        <v>0.9241296936867541</v>
      </c>
      <c r="H54" s="42">
        <f t="shared" si="9"/>
        <v>0.11647326526372313</v>
      </c>
    </row>
    <row r="55" spans="2:8" ht="12.75">
      <c r="B55" s="3" t="s">
        <v>86</v>
      </c>
      <c r="C55" s="16" t="s">
        <v>28</v>
      </c>
      <c r="D55" s="4">
        <v>59</v>
      </c>
      <c r="E55" s="6">
        <v>4.01</v>
      </c>
      <c r="F55" s="26">
        <v>0.7</v>
      </c>
      <c r="G55" s="38">
        <f t="shared" si="8"/>
        <v>1.389480219060708</v>
      </c>
      <c r="H55" s="42">
        <f t="shared" si="9"/>
        <v>0.2198844931246018</v>
      </c>
    </row>
    <row r="56" spans="2:8" ht="12.75">
      <c r="B56" s="3" t="s">
        <v>81</v>
      </c>
      <c r="C56" s="16" t="s">
        <v>28</v>
      </c>
      <c r="D56" s="4">
        <v>64</v>
      </c>
      <c r="E56" s="6">
        <v>3.67</v>
      </c>
      <c r="F56" s="26">
        <v>0.6</v>
      </c>
      <c r="G56" s="38">
        <f t="shared" si="8"/>
        <v>2.095371448021969</v>
      </c>
      <c r="H56" s="42">
        <f t="shared" si="9"/>
        <v>0.37674921067154865</v>
      </c>
    </row>
    <row r="57" spans="2:8" ht="12.75">
      <c r="B57" s="3" t="s">
        <v>87</v>
      </c>
      <c r="C57" s="16" t="s">
        <v>28</v>
      </c>
      <c r="D57" s="4">
        <v>49</v>
      </c>
      <c r="E57" s="6">
        <v>3.93</v>
      </c>
      <c r="F57" s="26">
        <v>0.5</v>
      </c>
      <c r="G57" s="38">
        <f t="shared" si="8"/>
        <v>1.0998440666124731</v>
      </c>
      <c r="H57" s="42">
        <f t="shared" si="9"/>
        <v>0.1555209036916607</v>
      </c>
    </row>
    <row r="58" spans="2:8" ht="12.75">
      <c r="B58" s="3" t="s">
        <v>88</v>
      </c>
      <c r="C58" s="16" t="s">
        <v>28</v>
      </c>
      <c r="D58" s="4">
        <v>48</v>
      </c>
      <c r="E58" s="6">
        <v>3.95</v>
      </c>
      <c r="F58" s="26"/>
      <c r="G58" s="38">
        <f t="shared" si="8"/>
        <v>0.4</v>
      </c>
      <c r="H58" s="42">
        <f t="shared" si="9"/>
        <v>0</v>
      </c>
    </row>
    <row r="59" spans="2:8" ht="12.75">
      <c r="B59" s="25" t="s">
        <v>26</v>
      </c>
      <c r="C59" s="24"/>
      <c r="D59" s="24">
        <f>SUM(D41:D49)</f>
        <v>940</v>
      </c>
      <c r="E59" s="36">
        <f>SUMPRODUCT($D41:$D49,E41:E49)/SUM($D41:$D49)</f>
        <v>4.10404255319149</v>
      </c>
      <c r="F59" s="62"/>
      <c r="G59" s="44">
        <f t="shared" si="8"/>
        <v>60.72835471821579</v>
      </c>
      <c r="H59" s="22">
        <f>SUM(H41:H49)</f>
        <v>13.406301048492399</v>
      </c>
    </row>
    <row r="60" spans="2:8" ht="12.75">
      <c r="B60" s="25" t="s">
        <v>27</v>
      </c>
      <c r="C60" s="24"/>
      <c r="D60" s="24">
        <f>SUM(D50:D58)</f>
        <v>505</v>
      </c>
      <c r="E60" s="36">
        <f>SUMPRODUCT($D50:$D58,E50:E58)/SUM($D50:$D58)</f>
        <v>3.925980198019802</v>
      </c>
      <c r="F60" s="62">
        <f>SUMPRODUCT($D50:$D58,F50:F58)/SUM($D50:$D58)</f>
        <v>0.8815841584158416</v>
      </c>
      <c r="G60" s="44">
        <f t="shared" si="8"/>
        <v>14.28820201819154</v>
      </c>
      <c r="H60" s="22">
        <f>SUM(H50:H58)</f>
        <v>3.086267115153676</v>
      </c>
    </row>
    <row r="61" spans="2:8" ht="12.75">
      <c r="B61" s="25" t="s">
        <v>16</v>
      </c>
      <c r="C61" s="24"/>
      <c r="D61" s="24">
        <f>SUM(D41:D58)</f>
        <v>1445</v>
      </c>
      <c r="E61" s="36">
        <f>SUMPRODUCT($D41:$D58,E41:E58)/SUM($D41:$D58)</f>
        <v>4.041813148788928</v>
      </c>
      <c r="F61" s="62"/>
      <c r="G61" s="45">
        <f t="shared" si="8"/>
        <v>74.61655673640733</v>
      </c>
      <c r="H61" s="33">
        <f>SUM(H41:H58)</f>
        <v>16.492568163646073</v>
      </c>
    </row>
    <row r="63" spans="2:4" ht="12.75">
      <c r="B63" s="18" t="s">
        <v>34</v>
      </c>
      <c r="C63" s="15" t="s">
        <v>35</v>
      </c>
      <c r="D63" s="19"/>
    </row>
    <row r="64" spans="2:4" ht="12.75">
      <c r="B64" s="30"/>
      <c r="C64" s="16" t="s">
        <v>37</v>
      </c>
      <c r="D64" s="35"/>
    </row>
    <row r="65" spans="2:4" ht="12.75">
      <c r="B65" s="20"/>
      <c r="C65" s="17" t="s">
        <v>36</v>
      </c>
      <c r="D65" s="34"/>
    </row>
  </sheetData>
  <sheetProtection/>
  <mergeCells count="1">
    <mergeCell ref="H5:M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Billings</dc:creator>
  <cp:keywords/>
  <dc:description/>
  <cp:lastModifiedBy>Robbie</cp:lastModifiedBy>
  <dcterms:created xsi:type="dcterms:W3CDTF">1970-01-01T00:02:50Z</dcterms:created>
  <dcterms:modified xsi:type="dcterms:W3CDTF">2012-04-06T08:01:15Z</dcterms:modified>
  <cp:category/>
  <cp:version/>
  <cp:contentType/>
  <cp:contentStatus/>
</cp:coreProperties>
</file>