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76" windowWidth="20580" windowHeight="11760" tabRatio="500" activeTab="0"/>
  </bookViews>
  <sheets>
    <sheet name="WAR" sheetId="1" r:id="rId1"/>
  </sheets>
  <definedNames>
    <definedName name="PosAdjTable">'WAR'!$J$40:$K$49</definedName>
  </definedNames>
  <calcPr fullCalcOnLoad="1"/>
</workbook>
</file>

<file path=xl/sharedStrings.xml><?xml version="1.0" encoding="utf-8"?>
<sst xmlns="http://schemas.openxmlformats.org/spreadsheetml/2006/main" count="151" uniqueCount="90">
  <si>
    <t>Pos</t>
  </si>
  <si>
    <t>PA</t>
  </si>
  <si>
    <t>wOBA</t>
  </si>
  <si>
    <t>BR</t>
  </si>
  <si>
    <t>Field</t>
  </si>
  <si>
    <t>WAR</t>
  </si>
  <si>
    <t>CA</t>
  </si>
  <si>
    <t>1B</t>
  </si>
  <si>
    <t>2B</t>
  </si>
  <si>
    <t>SS</t>
  </si>
  <si>
    <t>3B</t>
  </si>
  <si>
    <t>LF</t>
  </si>
  <si>
    <t>CF</t>
  </si>
  <si>
    <t>RF</t>
  </si>
  <si>
    <t>DH</t>
  </si>
  <si>
    <t>P</t>
  </si>
  <si>
    <t>Total</t>
  </si>
  <si>
    <t>Team</t>
  </si>
  <si>
    <t>A/N</t>
  </si>
  <si>
    <t>Hitter</t>
  </si>
  <si>
    <t>Pitcher</t>
  </si>
  <si>
    <t>IP</t>
  </si>
  <si>
    <t>S/R</t>
  </si>
  <si>
    <t>S</t>
  </si>
  <si>
    <t>LEV</t>
  </si>
  <si>
    <t>Starters</t>
  </si>
  <si>
    <t>Relievers</t>
  </si>
  <si>
    <t>R</t>
  </si>
  <si>
    <t>WAA</t>
  </si>
  <si>
    <t>Hitters</t>
  </si>
  <si>
    <t>Pitchers</t>
  </si>
  <si>
    <t>Group</t>
  </si>
  <si>
    <t>Hit</t>
  </si>
  <si>
    <t>IP Goal:</t>
  </si>
  <si>
    <t>1445 total</t>
  </si>
  <si>
    <t>505 relievers</t>
  </si>
  <si>
    <t>940 starters</t>
  </si>
  <si>
    <t>FA $</t>
  </si>
  <si>
    <t>$/WAR</t>
  </si>
  <si>
    <t>Per 700 PAs</t>
  </si>
  <si>
    <t>Fld</t>
  </si>
  <si>
    <t>Rep</t>
  </si>
  <si>
    <t>My Team</t>
  </si>
  <si>
    <t>A</t>
  </si>
  <si>
    <t>Win Talent</t>
  </si>
  <si>
    <t>OBP</t>
  </si>
  <si>
    <t>SLG</t>
  </si>
  <si>
    <t>wOBA?</t>
  </si>
  <si>
    <t>PA Goal:</t>
  </si>
  <si>
    <t>Prob &gt;= X Wins</t>
  </si>
  <si>
    <t>75 PAs per .010 points of wOBA (~8/spot)</t>
  </si>
  <si>
    <t>(695 per slot, 350 more for NL PHs) plus…</t>
  </si>
  <si>
    <t>6250 AL, 5900 NL at .335 wOBP</t>
  </si>
  <si>
    <t>Total WAR</t>
  </si>
  <si>
    <t>Total FA $</t>
  </si>
  <si>
    <t>wOBA_lg</t>
  </si>
  <si>
    <t>ERA_lg</t>
  </si>
  <si>
    <t>Mike Napoli</t>
  </si>
  <si>
    <t>Yorvit Torrealba</t>
  </si>
  <si>
    <t>Mitch Moreland</t>
  </si>
  <si>
    <t>Michael Young</t>
  </si>
  <si>
    <t>Julio Borbon</t>
  </si>
  <si>
    <t>Craig Gentry</t>
  </si>
  <si>
    <t>Leonys Martin</t>
  </si>
  <si>
    <t>Ian Kinsler</t>
  </si>
  <si>
    <t>Elvis Andrus</t>
  </si>
  <si>
    <t>Adrian Beltre</t>
  </si>
  <si>
    <t>Josh Hamilton</t>
  </si>
  <si>
    <t>Nelson Cruz</t>
  </si>
  <si>
    <t>Alberto Gonzalez</t>
  </si>
  <si>
    <t>David Murphy</t>
  </si>
  <si>
    <t>Colby Lewis</t>
  </si>
  <si>
    <t>Derek Holland</t>
  </si>
  <si>
    <t>Yu Darvish</t>
  </si>
  <si>
    <t>Neftali Feliz</t>
  </si>
  <si>
    <t>Scott Feldman</t>
  </si>
  <si>
    <t>Alexi Ogando</t>
  </si>
  <si>
    <t>Matt Harrison</t>
  </si>
  <si>
    <t>Joe Nathan</t>
  </si>
  <si>
    <t>Mike Adams</t>
  </si>
  <si>
    <t>Koji Uehara</t>
  </si>
  <si>
    <t>Mark Lowe</t>
  </si>
  <si>
    <t>Robbie Ross</t>
  </si>
  <si>
    <t>Yoshinori Tateyama</t>
  </si>
  <si>
    <t>Michael Kirkman</t>
  </si>
  <si>
    <t>Brandon Snyder</t>
  </si>
  <si>
    <t>Luis Martinez</t>
  </si>
  <si>
    <t>Hamilton/Murphy</t>
  </si>
  <si>
    <t>Napoli/Torrealba</t>
  </si>
  <si>
    <t>FIP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</si>
</sst>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&quot;$&quot;#,##0"/>
    <numFmt numFmtId="167" formatCode="0.0000000000000"/>
    <numFmt numFmtId="168" formatCode="&quot;$&quot;#,##0.0"/>
    <numFmt numFmtId="169" formatCode=".0"/>
    <numFmt numFmtId="170" formatCode="#,##0.0"/>
    <numFmt numFmtId="171" formatCode=".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9"/>
      <name val="Verdana"/>
      <family val="0"/>
    </font>
    <font>
      <sz val="10"/>
      <color indexed="55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164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14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6" xfId="0" applyFill="1" applyBorder="1" applyAlignment="1">
      <alignment/>
    </xf>
    <xf numFmtId="165" fontId="0" fillId="36" borderId="17" xfId="0" applyNumberFormat="1" applyFill="1" applyBorder="1" applyAlignment="1">
      <alignment/>
    </xf>
    <xf numFmtId="165" fontId="0" fillId="35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35" borderId="12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0" fillId="35" borderId="11" xfId="0" applyFill="1" applyBorder="1" applyAlignment="1">
      <alignment/>
    </xf>
    <xf numFmtId="165" fontId="0" fillId="35" borderId="20" xfId="0" applyNumberFormat="1" applyFill="1" applyBorder="1" applyAlignment="1">
      <alignment/>
    </xf>
    <xf numFmtId="0" fontId="0" fillId="36" borderId="19" xfId="0" applyFill="1" applyBorder="1" applyAlignment="1">
      <alignment/>
    </xf>
    <xf numFmtId="165" fontId="0" fillId="37" borderId="17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2" fontId="0" fillId="35" borderId="18" xfId="0" applyNumberFormat="1" applyFill="1" applyBorder="1" applyAlignment="1">
      <alignment/>
    </xf>
    <xf numFmtId="168" fontId="0" fillId="36" borderId="10" xfId="0" applyNumberFormat="1" applyFill="1" applyBorder="1" applyAlignment="1">
      <alignment/>
    </xf>
    <xf numFmtId="168" fontId="0" fillId="36" borderId="11" xfId="0" applyNumberFormat="1" applyFill="1" applyBorder="1" applyAlignment="1">
      <alignment/>
    </xf>
    <xf numFmtId="168" fontId="0" fillId="36" borderId="13" xfId="0" applyNumberFormat="1" applyFill="1" applyBorder="1" applyAlignment="1">
      <alignment/>
    </xf>
    <xf numFmtId="168" fontId="0" fillId="37" borderId="13" xfId="0" applyNumberFormat="1" applyFill="1" applyBorder="1" applyAlignment="1">
      <alignment/>
    </xf>
    <xf numFmtId="165" fontId="0" fillId="36" borderId="15" xfId="0" applyNumberFormat="1" applyFill="1" applyBorder="1" applyAlignment="1">
      <alignment/>
    </xf>
    <xf numFmtId="165" fontId="0" fillId="36" borderId="20" xfId="0" applyNumberFormat="1" applyFill="1" applyBorder="1" applyAlignment="1">
      <alignment/>
    </xf>
    <xf numFmtId="165" fontId="0" fillId="36" borderId="16" xfId="0" applyNumberFormat="1" applyFill="1" applyBorder="1" applyAlignment="1">
      <alignment/>
    </xf>
    <xf numFmtId="168" fontId="0" fillId="36" borderId="19" xfId="0" applyNumberFormat="1" applyFill="1" applyBorder="1" applyAlignment="1">
      <alignment/>
    </xf>
    <xf numFmtId="168" fontId="0" fillId="37" borderId="19" xfId="0" applyNumberForma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9" fontId="0" fillId="35" borderId="20" xfId="0" applyNumberFormat="1" applyFill="1" applyBorder="1" applyAlignment="1">
      <alignment/>
    </xf>
    <xf numFmtId="9" fontId="0" fillId="35" borderId="16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21" xfId="0" applyFill="1" applyBorder="1" applyAlignment="1">
      <alignment/>
    </xf>
    <xf numFmtId="0" fontId="0" fillId="34" borderId="22" xfId="0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165" fontId="0" fillId="37" borderId="16" xfId="0" applyNumberFormat="1" applyFill="1" applyBorder="1" applyAlignment="1">
      <alignment/>
    </xf>
    <xf numFmtId="165" fontId="0" fillId="35" borderId="18" xfId="0" applyNumberFormat="1" applyFill="1" applyBorder="1" applyAlignment="1">
      <alignment/>
    </xf>
    <xf numFmtId="0" fontId="0" fillId="37" borderId="13" xfId="0" applyFill="1" applyBorder="1" applyAlignment="1">
      <alignment/>
    </xf>
    <xf numFmtId="165" fontId="0" fillId="37" borderId="14" xfId="0" applyNumberFormat="1" applyFill="1" applyBorder="1" applyAlignment="1">
      <alignment/>
    </xf>
    <xf numFmtId="0" fontId="0" fillId="36" borderId="10" xfId="0" applyFill="1" applyBorder="1" applyAlignment="1">
      <alignment/>
    </xf>
    <xf numFmtId="165" fontId="0" fillId="36" borderId="12" xfId="0" applyNumberFormat="1" applyFill="1" applyBorder="1" applyAlignment="1">
      <alignment/>
    </xf>
    <xf numFmtId="0" fontId="0" fillId="36" borderId="13" xfId="0" applyFill="1" applyBorder="1" applyAlignment="1">
      <alignment/>
    </xf>
    <xf numFmtId="165" fontId="0" fillId="36" borderId="14" xfId="0" applyNumberFormat="1" applyFill="1" applyBorder="1" applyAlignment="1">
      <alignment/>
    </xf>
    <xf numFmtId="168" fontId="0" fillId="36" borderId="16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3" xfId="0" applyFill="1" applyBorder="1" applyAlignment="1">
      <alignment/>
    </xf>
    <xf numFmtId="2" fontId="0" fillId="34" borderId="16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5"/>
  <sheetViews>
    <sheetView tabSelected="1" zoomScalePageLayoutView="0" workbookViewId="0" topLeftCell="A1">
      <selection activeCell="K31" sqref="K31"/>
    </sheetView>
  </sheetViews>
  <sheetFormatPr defaultColWidth="11.00390625" defaultRowHeight="12.75"/>
  <cols>
    <col min="1" max="1" width="2.875" style="0" customWidth="1"/>
    <col min="2" max="2" width="14.25390625" style="0" customWidth="1"/>
    <col min="3" max="3" width="4.625" style="0" customWidth="1"/>
    <col min="4" max="4" width="6.375" style="0" customWidth="1"/>
    <col min="5" max="15" width="6.00390625" style="0" customWidth="1"/>
    <col min="16" max="16" width="4.75390625" style="0" customWidth="1"/>
    <col min="17" max="17" width="9.125" style="0" customWidth="1"/>
    <col min="18" max="19" width="7.125" style="0" customWidth="1"/>
  </cols>
  <sheetData>
    <row r="2" spans="2:8" ht="12.75">
      <c r="B2" s="18" t="s">
        <v>17</v>
      </c>
      <c r="C2" s="15" t="s">
        <v>18</v>
      </c>
      <c r="D2" s="19" t="s">
        <v>38</v>
      </c>
      <c r="H2" s="56" t="s">
        <v>47</v>
      </c>
    </row>
    <row r="3" spans="2:8" ht="12.75">
      <c r="B3" s="11" t="s">
        <v>42</v>
      </c>
      <c r="C3" s="12" t="s">
        <v>43</v>
      </c>
      <c r="D3" s="21">
        <v>4.5</v>
      </c>
      <c r="H3" s="57" t="b">
        <v>1</v>
      </c>
    </row>
    <row r="5" spans="8:13" ht="12.75">
      <c r="H5" s="74" t="s">
        <v>39</v>
      </c>
      <c r="I5" s="75"/>
      <c r="J5" s="75"/>
      <c r="K5" s="75"/>
      <c r="L5" s="75"/>
      <c r="M5" s="75"/>
    </row>
    <row r="6" spans="2:19" s="1" customFormat="1" ht="12.75">
      <c r="B6" s="2" t="s">
        <v>19</v>
      </c>
      <c r="C6" s="47" t="s">
        <v>0</v>
      </c>
      <c r="D6" s="47" t="s">
        <v>1</v>
      </c>
      <c r="E6" s="47" t="s">
        <v>45</v>
      </c>
      <c r="F6" s="47" t="s">
        <v>46</v>
      </c>
      <c r="G6" s="47" t="s">
        <v>2</v>
      </c>
      <c r="H6" s="49" t="s">
        <v>32</v>
      </c>
      <c r="I6" s="49" t="s">
        <v>3</v>
      </c>
      <c r="J6" s="49" t="s">
        <v>0</v>
      </c>
      <c r="K6" s="49" t="s">
        <v>40</v>
      </c>
      <c r="L6" s="49" t="s">
        <v>41</v>
      </c>
      <c r="M6" s="49" t="s">
        <v>5</v>
      </c>
      <c r="N6" s="47" t="s">
        <v>37</v>
      </c>
      <c r="O6" s="50" t="s">
        <v>5</v>
      </c>
      <c r="Q6" s="46" t="s">
        <v>31</v>
      </c>
      <c r="R6" s="47" t="s">
        <v>28</v>
      </c>
      <c r="S6" s="48" t="s">
        <v>5</v>
      </c>
    </row>
    <row r="7" spans="2:19" ht="12.75">
      <c r="B7" s="7" t="s">
        <v>57</v>
      </c>
      <c r="C7" s="15" t="s">
        <v>6</v>
      </c>
      <c r="D7" s="8">
        <v>391</v>
      </c>
      <c r="E7" s="9"/>
      <c r="F7" s="9"/>
      <c r="G7" s="9">
        <v>0.382</v>
      </c>
      <c r="H7" s="58">
        <f>IF(D7=0,"",(IF(H$3,G7,(1.75*E7+F7)/3)-$R$27)/1.15*700/10)</f>
        <v>3.7130434782608694</v>
      </c>
      <c r="I7" s="10"/>
      <c r="J7" s="58">
        <f aca="true" t="shared" si="0" ref="J7:J33">IF(D7=0,"",VLOOKUP(C7,PosAdjTable,2,0))</f>
        <v>1.25</v>
      </c>
      <c r="K7" s="10">
        <v>-0.43</v>
      </c>
      <c r="L7" s="58">
        <f>IF(D7=0,"",IF(C$3="N",2,2.5))</f>
        <v>2.5</v>
      </c>
      <c r="M7" s="58">
        <f aca="true" t="shared" si="1" ref="M7:M33">IF(D7=0,"",SUM(H7:L7))</f>
        <v>7.03304347826087</v>
      </c>
      <c r="N7" s="37">
        <f aca="true" t="shared" si="2" ref="N7:N34">IF(D7=0,"",O7*$D$3+0.4)</f>
        <v>18.078057142857144</v>
      </c>
      <c r="O7" s="41">
        <f aca="true" t="shared" si="3" ref="O7:O33">IF(D7=0,"",M7/700*D7)</f>
        <v>3.9284571428571433</v>
      </c>
      <c r="Q7" s="30" t="s">
        <v>32</v>
      </c>
      <c r="R7" s="23">
        <f>H34*D34/700</f>
        <v>9.850434782608696</v>
      </c>
      <c r="S7" s="31"/>
    </row>
    <row r="8" spans="2:19" ht="12.75">
      <c r="B8" s="3" t="s">
        <v>58</v>
      </c>
      <c r="C8" s="16" t="s">
        <v>6</v>
      </c>
      <c r="D8" s="4">
        <v>282</v>
      </c>
      <c r="E8" s="5"/>
      <c r="F8" s="5"/>
      <c r="G8" s="5">
        <v>0.3</v>
      </c>
      <c r="H8" s="59">
        <f aca="true" t="shared" si="4" ref="H8:H33">IF(D8=0,"",(IF(H$3,G8,(1.75*E8+F8)/3)-$R$27)/1.15*700/10)</f>
        <v>-1.2782608695652187</v>
      </c>
      <c r="I8" s="6"/>
      <c r="J8" s="59">
        <f t="shared" si="0"/>
        <v>1.25</v>
      </c>
      <c r="K8" s="6">
        <v>-0.08</v>
      </c>
      <c r="L8" s="59">
        <f aca="true" t="shared" si="5" ref="L8:L33">IF(D8=0,"",IF(C$3="N",2,2.5))</f>
        <v>2.5</v>
      </c>
      <c r="M8" s="59">
        <f t="shared" si="1"/>
        <v>2.3917391304347815</v>
      </c>
      <c r="N8" s="38">
        <f t="shared" si="2"/>
        <v>4.735881366459625</v>
      </c>
      <c r="O8" s="42">
        <f t="shared" si="3"/>
        <v>0.9635291925465833</v>
      </c>
      <c r="Q8" s="30" t="s">
        <v>3</v>
      </c>
      <c r="R8" s="23">
        <f>I34*D34/700</f>
        <v>0</v>
      </c>
      <c r="S8" s="31"/>
    </row>
    <row r="9" spans="2:19" ht="12.75">
      <c r="B9" s="11" t="s">
        <v>86</v>
      </c>
      <c r="C9" s="17" t="s">
        <v>6</v>
      </c>
      <c r="D9" s="12">
        <v>29</v>
      </c>
      <c r="E9" s="13"/>
      <c r="F9" s="13"/>
      <c r="G9" s="13">
        <v>0.293</v>
      </c>
      <c r="H9" s="60">
        <f t="shared" si="4"/>
        <v>-1.704347826086958</v>
      </c>
      <c r="I9" s="14"/>
      <c r="J9" s="60">
        <f t="shared" si="0"/>
        <v>1.25</v>
      </c>
      <c r="K9" s="14">
        <v>0</v>
      </c>
      <c r="L9" s="60">
        <f t="shared" si="5"/>
        <v>2.5</v>
      </c>
      <c r="M9" s="60">
        <f t="shared" si="1"/>
        <v>2.0456521739130418</v>
      </c>
      <c r="N9" s="39">
        <f t="shared" si="2"/>
        <v>0.78136801242236</v>
      </c>
      <c r="O9" s="43">
        <f t="shared" si="3"/>
        <v>0.08474844720496888</v>
      </c>
      <c r="Q9" s="30" t="s">
        <v>4</v>
      </c>
      <c r="R9" s="23">
        <f>K34*D34/700</f>
        <v>2.895428571428572</v>
      </c>
      <c r="S9" s="31"/>
    </row>
    <row r="10" spans="2:19" ht="12.75">
      <c r="B10" s="7" t="s">
        <v>59</v>
      </c>
      <c r="C10" s="15" t="s">
        <v>7</v>
      </c>
      <c r="D10" s="8">
        <v>444</v>
      </c>
      <c r="E10" s="9"/>
      <c r="F10" s="9"/>
      <c r="G10" s="9">
        <v>0.336</v>
      </c>
      <c r="H10" s="58">
        <f t="shared" si="4"/>
        <v>0.9130434782608704</v>
      </c>
      <c r="I10" s="10"/>
      <c r="J10" s="58">
        <f t="shared" si="0"/>
        <v>-1.25</v>
      </c>
      <c r="K10" s="10">
        <v>-0.03</v>
      </c>
      <c r="L10" s="58">
        <f t="shared" si="5"/>
        <v>2.5</v>
      </c>
      <c r="M10" s="58">
        <f t="shared" si="1"/>
        <v>2.1330434782608703</v>
      </c>
      <c r="N10" s="37">
        <f t="shared" si="2"/>
        <v>6.488315527950313</v>
      </c>
      <c r="O10" s="41">
        <f t="shared" si="3"/>
        <v>1.3529590062111805</v>
      </c>
      <c r="Q10" s="30" t="s">
        <v>29</v>
      </c>
      <c r="R10" s="23"/>
      <c r="S10" s="31">
        <f>O34</f>
        <v>33.13729192546584</v>
      </c>
    </row>
    <row r="11" spans="2:19" ht="12.75">
      <c r="B11" s="3" t="s">
        <v>60</v>
      </c>
      <c r="C11" s="16" t="s">
        <v>7</v>
      </c>
      <c r="D11" s="4">
        <v>135</v>
      </c>
      <c r="E11" s="5"/>
      <c r="F11" s="5"/>
      <c r="G11" s="5">
        <v>0.318</v>
      </c>
      <c r="H11" s="59">
        <f t="shared" si="4"/>
        <v>-0.18260869565217408</v>
      </c>
      <c r="I11" s="6"/>
      <c r="J11" s="59">
        <f t="shared" si="0"/>
        <v>-1.25</v>
      </c>
      <c r="K11" s="6">
        <v>0.9</v>
      </c>
      <c r="L11" s="59">
        <f t="shared" si="5"/>
        <v>2.5</v>
      </c>
      <c r="M11" s="59">
        <f t="shared" si="1"/>
        <v>1.9673913043478257</v>
      </c>
      <c r="N11" s="38">
        <f t="shared" si="2"/>
        <v>2.107414596273292</v>
      </c>
      <c r="O11" s="42">
        <f t="shared" si="3"/>
        <v>0.3794254658385093</v>
      </c>
      <c r="Q11" s="30" t="s">
        <v>30</v>
      </c>
      <c r="R11" s="23"/>
      <c r="S11" s="31">
        <f>H61</f>
        <v>23.466545576182423</v>
      </c>
    </row>
    <row r="12" spans="2:20" ht="12.75">
      <c r="B12" s="11" t="s">
        <v>57</v>
      </c>
      <c r="C12" s="17" t="s">
        <v>7</v>
      </c>
      <c r="D12" s="12">
        <v>124</v>
      </c>
      <c r="E12" s="13"/>
      <c r="F12" s="13"/>
      <c r="G12" s="13">
        <v>0.382</v>
      </c>
      <c r="H12" s="60">
        <f t="shared" si="4"/>
        <v>3.7130434782608694</v>
      </c>
      <c r="I12" s="14"/>
      <c r="J12" s="60">
        <f t="shared" si="0"/>
        <v>-1.25</v>
      </c>
      <c r="K12" s="14">
        <v>0.02</v>
      </c>
      <c r="L12" s="60">
        <f t="shared" si="5"/>
        <v>2.5</v>
      </c>
      <c r="M12" s="60">
        <f t="shared" si="1"/>
        <v>4.9830434782608695</v>
      </c>
      <c r="N12" s="39">
        <f t="shared" si="2"/>
        <v>4.37219751552795</v>
      </c>
      <c r="O12" s="43">
        <f t="shared" si="3"/>
        <v>0.8827105590062111</v>
      </c>
      <c r="Q12" s="65" t="s">
        <v>53</v>
      </c>
      <c r="R12" s="66"/>
      <c r="S12" s="41">
        <f>SUM(S10,S11)</f>
        <v>56.60383750164826</v>
      </c>
      <c r="T12" s="52"/>
    </row>
    <row r="13" spans="2:19" ht="12.75">
      <c r="B13" s="7" t="s">
        <v>64</v>
      </c>
      <c r="C13" s="15" t="s">
        <v>8</v>
      </c>
      <c r="D13" s="8">
        <v>634</v>
      </c>
      <c r="E13" s="9"/>
      <c r="F13" s="9"/>
      <c r="G13" s="9">
        <v>0.375</v>
      </c>
      <c r="H13" s="58">
        <f t="shared" si="4"/>
        <v>3.2869565217391306</v>
      </c>
      <c r="I13" s="10"/>
      <c r="J13" s="58">
        <f t="shared" si="0"/>
        <v>0.25</v>
      </c>
      <c r="K13" s="10">
        <v>0.78</v>
      </c>
      <c r="L13" s="58">
        <f t="shared" si="5"/>
        <v>2.5</v>
      </c>
      <c r="M13" s="58">
        <f t="shared" si="1"/>
        <v>6.81695652173913</v>
      </c>
      <c r="N13" s="37">
        <f t="shared" si="2"/>
        <v>28.18396708074534</v>
      </c>
      <c r="O13" s="41">
        <f t="shared" si="3"/>
        <v>6.174214906832298</v>
      </c>
      <c r="Q13" s="67" t="s">
        <v>54</v>
      </c>
      <c r="R13" s="68"/>
      <c r="S13" s="69">
        <f>SUM(N34,G61)</f>
        <v>255.51726875741718</v>
      </c>
    </row>
    <row r="14" spans="2:19" ht="12.75">
      <c r="B14" s="3" t="s">
        <v>60</v>
      </c>
      <c r="C14" s="16" t="s">
        <v>8</v>
      </c>
      <c r="D14" s="4">
        <v>34</v>
      </c>
      <c r="E14" s="5"/>
      <c r="F14" s="5"/>
      <c r="G14" s="5">
        <v>0.318</v>
      </c>
      <c r="H14" s="59">
        <f t="shared" si="4"/>
        <v>-0.18260869565217408</v>
      </c>
      <c r="I14" s="6"/>
      <c r="J14" s="59">
        <f t="shared" si="0"/>
        <v>0.25</v>
      </c>
      <c r="K14" s="6">
        <v>-0.6</v>
      </c>
      <c r="L14" s="59">
        <f t="shared" si="5"/>
        <v>2.5</v>
      </c>
      <c r="M14" s="59">
        <f t="shared" si="1"/>
        <v>1.967391304347826</v>
      </c>
      <c r="N14" s="38">
        <f t="shared" si="2"/>
        <v>0.8300155279503105</v>
      </c>
      <c r="O14" s="42">
        <f t="shared" si="3"/>
        <v>0.09555900621118012</v>
      </c>
      <c r="Q14" s="63" t="s">
        <v>44</v>
      </c>
      <c r="R14" s="64"/>
      <c r="S14" s="61">
        <f>S12+IF(C3="N",48.5,43.5)</f>
        <v>100.10383750164826</v>
      </c>
    </row>
    <row r="15" spans="2:15" ht="12.75">
      <c r="B15" s="11" t="s">
        <v>69</v>
      </c>
      <c r="C15" s="17" t="s">
        <v>8</v>
      </c>
      <c r="D15" s="12">
        <v>33</v>
      </c>
      <c r="E15" s="13"/>
      <c r="F15" s="13"/>
      <c r="G15" s="13">
        <v>0.263</v>
      </c>
      <c r="H15" s="60">
        <f t="shared" si="4"/>
        <v>-3.530434782608696</v>
      </c>
      <c r="I15" s="14"/>
      <c r="J15" s="60">
        <f t="shared" si="0"/>
        <v>0.25</v>
      </c>
      <c r="K15" s="14">
        <v>-0.04</v>
      </c>
      <c r="L15" s="60">
        <f t="shared" si="5"/>
        <v>2.5</v>
      </c>
      <c r="M15" s="60">
        <f t="shared" si="1"/>
        <v>-0.8204347826086962</v>
      </c>
      <c r="N15" s="39">
        <f t="shared" si="2"/>
        <v>0.22595062111801234</v>
      </c>
      <c r="O15" s="43">
        <f t="shared" si="3"/>
        <v>-0.03867763975155282</v>
      </c>
    </row>
    <row r="16" spans="2:18" ht="12.75">
      <c r="B16" s="7" t="s">
        <v>65</v>
      </c>
      <c r="C16" s="15" t="s">
        <v>9</v>
      </c>
      <c r="D16" s="8">
        <v>647</v>
      </c>
      <c r="E16" s="9"/>
      <c r="F16" s="9"/>
      <c r="G16" s="9">
        <v>0.318</v>
      </c>
      <c r="H16" s="58">
        <f t="shared" si="4"/>
        <v>-0.18260869565217408</v>
      </c>
      <c r="I16" s="10"/>
      <c r="J16" s="58">
        <f t="shared" si="0"/>
        <v>0.75</v>
      </c>
      <c r="K16" s="10">
        <v>0.45</v>
      </c>
      <c r="L16" s="58">
        <f t="shared" si="5"/>
        <v>2.5</v>
      </c>
      <c r="M16" s="58">
        <f t="shared" si="1"/>
        <v>3.517391304347826</v>
      </c>
      <c r="N16" s="37">
        <f t="shared" si="2"/>
        <v>15.029835403726707</v>
      </c>
      <c r="O16" s="41">
        <f t="shared" si="3"/>
        <v>3.2510745341614906</v>
      </c>
      <c r="Q16" s="32" t="s">
        <v>49</v>
      </c>
      <c r="R16" s="55"/>
    </row>
    <row r="17" spans="2:18" ht="12.75">
      <c r="B17" s="3" t="s">
        <v>69</v>
      </c>
      <c r="C17" s="16" t="s">
        <v>9</v>
      </c>
      <c r="D17" s="4">
        <v>56</v>
      </c>
      <c r="E17" s="5"/>
      <c r="F17" s="5"/>
      <c r="G17" s="5">
        <v>0.263</v>
      </c>
      <c r="H17" s="59">
        <f t="shared" si="4"/>
        <v>-3.530434782608696</v>
      </c>
      <c r="I17" s="6"/>
      <c r="J17" s="59">
        <f t="shared" si="0"/>
        <v>0.75</v>
      </c>
      <c r="K17" s="6">
        <v>-0.59</v>
      </c>
      <c r="L17" s="59">
        <f t="shared" si="5"/>
        <v>2.5</v>
      </c>
      <c r="M17" s="59">
        <f t="shared" si="1"/>
        <v>-0.870434782608696</v>
      </c>
      <c r="N17" s="38">
        <f t="shared" si="2"/>
        <v>0.08664347826086943</v>
      </c>
      <c r="O17" s="42">
        <f t="shared" si="3"/>
        <v>-0.06963478260869568</v>
      </c>
      <c r="Q17" s="30">
        <v>61</v>
      </c>
      <c r="R17" s="53">
        <f>1-BINOMDIST(Q17,162,$S$14/162,1)</f>
        <v>0.9999999995523726</v>
      </c>
    </row>
    <row r="18" spans="2:18" ht="12.75">
      <c r="B18" s="11"/>
      <c r="C18" s="17" t="s">
        <v>9</v>
      </c>
      <c r="D18" s="12"/>
      <c r="E18" s="13"/>
      <c r="F18" s="13"/>
      <c r="G18" s="13"/>
      <c r="H18" s="60">
        <f t="shared" si="4"/>
      </c>
      <c r="I18" s="14"/>
      <c r="J18" s="60">
        <f t="shared" si="0"/>
      </c>
      <c r="K18" s="14"/>
      <c r="L18" s="60">
        <f t="shared" si="5"/>
      </c>
      <c r="M18" s="60">
        <f t="shared" si="1"/>
      </c>
      <c r="N18" s="39">
        <f t="shared" si="2"/>
      </c>
      <c r="O18" s="43">
        <f t="shared" si="3"/>
      </c>
      <c r="Q18" s="30">
        <v>66</v>
      </c>
      <c r="R18" s="53">
        <f aca="true" t="shared" si="6" ref="R18:R25">1-BINOMDIST(Q18,162,$S$14/162,1)</f>
        <v>0.9999999524289839</v>
      </c>
    </row>
    <row r="19" spans="2:18" ht="12.75">
      <c r="B19" s="7" t="s">
        <v>66</v>
      </c>
      <c r="C19" s="15" t="s">
        <v>10</v>
      </c>
      <c r="D19" s="8">
        <v>541</v>
      </c>
      <c r="E19" s="9"/>
      <c r="F19" s="9"/>
      <c r="G19" s="9">
        <v>0.343</v>
      </c>
      <c r="H19" s="58">
        <f t="shared" si="4"/>
        <v>1.33913043478261</v>
      </c>
      <c r="I19" s="10"/>
      <c r="J19" s="58">
        <f t="shared" si="0"/>
        <v>0.25</v>
      </c>
      <c r="K19" s="10">
        <v>1.58</v>
      </c>
      <c r="L19" s="58">
        <f t="shared" si="5"/>
        <v>2.5</v>
      </c>
      <c r="M19" s="58">
        <f t="shared" si="1"/>
        <v>5.66913043478261</v>
      </c>
      <c r="N19" s="37">
        <f t="shared" si="2"/>
        <v>20.11642577639752</v>
      </c>
      <c r="O19" s="41">
        <f t="shared" si="3"/>
        <v>4.38142795031056</v>
      </c>
      <c r="Q19" s="30">
        <v>71</v>
      </c>
      <c r="R19" s="53">
        <f t="shared" si="6"/>
        <v>0.9999972791551716</v>
      </c>
    </row>
    <row r="20" spans="2:18" ht="12.75">
      <c r="B20" s="3" t="s">
        <v>60</v>
      </c>
      <c r="C20" s="16" t="s">
        <v>10</v>
      </c>
      <c r="D20" s="4">
        <v>27</v>
      </c>
      <c r="E20" s="5"/>
      <c r="F20" s="5"/>
      <c r="G20" s="5">
        <v>0.318</v>
      </c>
      <c r="H20" s="59">
        <f t="shared" si="4"/>
        <v>-0.18260869565217408</v>
      </c>
      <c r="I20" s="6"/>
      <c r="J20" s="59">
        <f t="shared" si="0"/>
        <v>0.25</v>
      </c>
      <c r="K20" s="6">
        <v>-0.6</v>
      </c>
      <c r="L20" s="59">
        <f t="shared" si="5"/>
        <v>2.5</v>
      </c>
      <c r="M20" s="59">
        <f t="shared" si="1"/>
        <v>1.967391304347826</v>
      </c>
      <c r="N20" s="38">
        <f t="shared" si="2"/>
        <v>0.7414829192546584</v>
      </c>
      <c r="O20" s="42">
        <f t="shared" si="3"/>
        <v>0.07588509316770185</v>
      </c>
      <c r="Q20" s="30">
        <v>76</v>
      </c>
      <c r="R20" s="53">
        <f t="shared" si="6"/>
        <v>0.9999147583982423</v>
      </c>
    </row>
    <row r="21" spans="2:18" ht="12.75">
      <c r="B21" s="11" t="s">
        <v>69</v>
      </c>
      <c r="C21" s="17" t="s">
        <v>10</v>
      </c>
      <c r="D21" s="12">
        <v>134</v>
      </c>
      <c r="E21" s="13"/>
      <c r="F21" s="13"/>
      <c r="G21" s="13">
        <v>0.263</v>
      </c>
      <c r="H21" s="60">
        <f t="shared" si="4"/>
        <v>-3.530434782608696</v>
      </c>
      <c r="I21" s="14"/>
      <c r="J21" s="60">
        <f t="shared" si="0"/>
        <v>0.25</v>
      </c>
      <c r="K21" s="14">
        <v>-0.04</v>
      </c>
      <c r="L21" s="60">
        <f t="shared" si="5"/>
        <v>2.5</v>
      </c>
      <c r="M21" s="60">
        <f t="shared" si="1"/>
        <v>-0.8204347826086962</v>
      </c>
      <c r="N21" s="39">
        <f t="shared" si="2"/>
        <v>-0.30674596273291976</v>
      </c>
      <c r="O21" s="43">
        <f t="shared" si="3"/>
        <v>-0.15705465838509328</v>
      </c>
      <c r="Q21" s="30">
        <v>81</v>
      </c>
      <c r="R21" s="53">
        <f t="shared" si="6"/>
        <v>0.9985146054455113</v>
      </c>
    </row>
    <row r="22" spans="2:18" ht="12.75">
      <c r="B22" s="7" t="s">
        <v>67</v>
      </c>
      <c r="C22" s="15" t="s">
        <v>11</v>
      </c>
      <c r="D22" s="8">
        <v>438</v>
      </c>
      <c r="E22" s="9"/>
      <c r="F22" s="9"/>
      <c r="G22" s="9">
        <v>0.381</v>
      </c>
      <c r="H22" s="58">
        <f t="shared" si="4"/>
        <v>3.652173913043479</v>
      </c>
      <c r="I22" s="10"/>
      <c r="J22" s="58">
        <f t="shared" si="0"/>
        <v>-0.75</v>
      </c>
      <c r="K22" s="10">
        <v>0.34</v>
      </c>
      <c r="L22" s="58">
        <f t="shared" si="5"/>
        <v>2.5</v>
      </c>
      <c r="M22" s="58">
        <f t="shared" si="1"/>
        <v>5.742173913043478</v>
      </c>
      <c r="N22" s="37">
        <f t="shared" si="2"/>
        <v>16.56832111801242</v>
      </c>
      <c r="O22" s="41">
        <f t="shared" si="3"/>
        <v>3.592960248447205</v>
      </c>
      <c r="Q22" s="30">
        <v>86</v>
      </c>
      <c r="R22" s="53">
        <f t="shared" si="6"/>
        <v>0.9853800390285079</v>
      </c>
    </row>
    <row r="23" spans="2:18" ht="12.75">
      <c r="B23" s="3" t="s">
        <v>70</v>
      </c>
      <c r="C23" s="16" t="s">
        <v>11</v>
      </c>
      <c r="D23" s="4">
        <v>310</v>
      </c>
      <c r="E23" s="5"/>
      <c r="F23" s="5"/>
      <c r="G23" s="5">
        <v>0.34</v>
      </c>
      <c r="H23" s="59">
        <f t="shared" si="4"/>
        <v>1.156521739130436</v>
      </c>
      <c r="I23" s="6"/>
      <c r="J23" s="59">
        <f t="shared" si="0"/>
        <v>-0.75</v>
      </c>
      <c r="K23" s="6">
        <v>0.26</v>
      </c>
      <c r="L23" s="59">
        <f t="shared" si="5"/>
        <v>2.5</v>
      </c>
      <c r="M23" s="59">
        <f t="shared" si="1"/>
        <v>3.1665217391304363</v>
      </c>
      <c r="N23" s="38">
        <f t="shared" si="2"/>
        <v>6.710425465838512</v>
      </c>
      <c r="O23" s="42">
        <f t="shared" si="3"/>
        <v>1.402316770186336</v>
      </c>
      <c r="Q23" s="30">
        <v>91</v>
      </c>
      <c r="R23" s="53">
        <f t="shared" si="6"/>
        <v>0.9171424694480586</v>
      </c>
    </row>
    <row r="24" spans="2:18" ht="12.75">
      <c r="B24" s="11" t="s">
        <v>62</v>
      </c>
      <c r="C24" s="17" t="s">
        <v>11</v>
      </c>
      <c r="D24" s="12">
        <v>48</v>
      </c>
      <c r="E24" s="13"/>
      <c r="F24" s="13"/>
      <c r="G24" s="13">
        <v>0.311</v>
      </c>
      <c r="H24" s="60">
        <f t="shared" si="4"/>
        <v>-0.6086956521739136</v>
      </c>
      <c r="I24" s="14"/>
      <c r="J24" s="60">
        <f t="shared" si="0"/>
        <v>-0.75</v>
      </c>
      <c r="K24" s="14">
        <v>1.23</v>
      </c>
      <c r="L24" s="60">
        <f t="shared" si="5"/>
        <v>2.5</v>
      </c>
      <c r="M24" s="60">
        <f t="shared" si="1"/>
        <v>2.3713043478260865</v>
      </c>
      <c r="N24" s="39">
        <f t="shared" si="2"/>
        <v>1.131716770186335</v>
      </c>
      <c r="O24" s="43">
        <f t="shared" si="3"/>
        <v>0.1626037267080745</v>
      </c>
      <c r="Q24" s="30">
        <v>96</v>
      </c>
      <c r="R24" s="53">
        <f t="shared" si="6"/>
        <v>0.7213109022722158</v>
      </c>
    </row>
    <row r="25" spans="2:18" ht="12.75">
      <c r="B25" s="7" t="s">
        <v>61</v>
      </c>
      <c r="C25" s="15" t="s">
        <v>12</v>
      </c>
      <c r="D25" s="8">
        <v>170</v>
      </c>
      <c r="E25" s="9"/>
      <c r="F25" s="9"/>
      <c r="G25" s="9">
        <v>0.317</v>
      </c>
      <c r="H25" s="58">
        <f t="shared" si="4"/>
        <v>-0.24347826086956545</v>
      </c>
      <c r="I25" s="10"/>
      <c r="J25" s="58">
        <f t="shared" si="0"/>
        <v>0.25</v>
      </c>
      <c r="K25" s="10">
        <v>0.19</v>
      </c>
      <c r="L25" s="58">
        <f t="shared" si="5"/>
        <v>2.5</v>
      </c>
      <c r="M25" s="58">
        <f t="shared" si="1"/>
        <v>2.6965217391304344</v>
      </c>
      <c r="N25" s="37">
        <f t="shared" si="2"/>
        <v>3.34691304347826</v>
      </c>
      <c r="O25" s="41">
        <f t="shared" si="3"/>
        <v>0.6548695652173911</v>
      </c>
      <c r="Q25" s="20">
        <v>101</v>
      </c>
      <c r="R25" s="54">
        <f t="shared" si="6"/>
        <v>0.4130977076724084</v>
      </c>
    </row>
    <row r="26" spans="2:15" ht="12.75">
      <c r="B26" s="3" t="s">
        <v>62</v>
      </c>
      <c r="C26" s="16" t="s">
        <v>12</v>
      </c>
      <c r="D26" s="4">
        <v>282</v>
      </c>
      <c r="E26" s="5"/>
      <c r="F26" s="5"/>
      <c r="G26" s="5">
        <v>0.311</v>
      </c>
      <c r="H26" s="59">
        <f t="shared" si="4"/>
        <v>-0.6086956521739136</v>
      </c>
      <c r="I26" s="6"/>
      <c r="J26" s="59">
        <f t="shared" si="0"/>
        <v>0.25</v>
      </c>
      <c r="K26" s="6">
        <v>0.23</v>
      </c>
      <c r="L26" s="59">
        <f t="shared" si="5"/>
        <v>2.5</v>
      </c>
      <c r="M26" s="59">
        <f t="shared" si="1"/>
        <v>2.3713043478260865</v>
      </c>
      <c r="N26" s="38">
        <f t="shared" si="2"/>
        <v>4.69883602484472</v>
      </c>
      <c r="O26" s="42">
        <f t="shared" si="3"/>
        <v>0.9552968944099377</v>
      </c>
    </row>
    <row r="27" spans="2:18" ht="12.75">
      <c r="B27" s="11" t="s">
        <v>63</v>
      </c>
      <c r="C27" s="17" t="s">
        <v>12</v>
      </c>
      <c r="D27" s="12">
        <v>139</v>
      </c>
      <c r="E27" s="13"/>
      <c r="F27" s="13"/>
      <c r="G27" s="13">
        <v>0.311</v>
      </c>
      <c r="H27" s="60">
        <f t="shared" si="4"/>
        <v>-0.6086956521739136</v>
      </c>
      <c r="I27" s="14"/>
      <c r="J27" s="60">
        <f t="shared" si="0"/>
        <v>0.25</v>
      </c>
      <c r="K27" s="14">
        <v>0</v>
      </c>
      <c r="L27" s="60">
        <f t="shared" si="5"/>
        <v>2.5</v>
      </c>
      <c r="M27" s="60">
        <f t="shared" si="1"/>
        <v>2.1413043478260865</v>
      </c>
      <c r="N27" s="39">
        <f t="shared" si="2"/>
        <v>2.3134083850931675</v>
      </c>
      <c r="O27" s="43">
        <f t="shared" si="3"/>
        <v>0.4252018633540372</v>
      </c>
      <c r="Q27" s="70" t="s">
        <v>55</v>
      </c>
      <c r="R27" s="73">
        <v>0.321</v>
      </c>
    </row>
    <row r="28" spans="2:18" ht="12.75">
      <c r="B28" s="7" t="s">
        <v>68</v>
      </c>
      <c r="C28" s="15" t="s">
        <v>13</v>
      </c>
      <c r="D28" s="8">
        <v>518</v>
      </c>
      <c r="E28" s="9"/>
      <c r="F28" s="9"/>
      <c r="G28" s="9">
        <v>0.36</v>
      </c>
      <c r="H28" s="58">
        <f t="shared" si="4"/>
        <v>2.3739130434782596</v>
      </c>
      <c r="I28" s="10"/>
      <c r="J28" s="58">
        <f t="shared" si="0"/>
        <v>-0.75</v>
      </c>
      <c r="K28" s="10">
        <v>0.29</v>
      </c>
      <c r="L28" s="58">
        <f t="shared" si="5"/>
        <v>2.5</v>
      </c>
      <c r="M28" s="58">
        <f t="shared" si="1"/>
        <v>4.41391304347826</v>
      </c>
      <c r="N28" s="37">
        <f t="shared" si="2"/>
        <v>15.098330434782605</v>
      </c>
      <c r="O28" s="41">
        <f t="shared" si="3"/>
        <v>3.266295652173912</v>
      </c>
      <c r="Q28" s="71" t="s">
        <v>56</v>
      </c>
      <c r="R28" s="72">
        <v>4.08</v>
      </c>
    </row>
    <row r="29" spans="2:15" ht="12.75">
      <c r="B29" s="3" t="s">
        <v>70</v>
      </c>
      <c r="C29" s="16" t="s">
        <v>13</v>
      </c>
      <c r="D29" s="4">
        <v>26</v>
      </c>
      <c r="E29" s="5"/>
      <c r="F29" s="5"/>
      <c r="G29" s="5">
        <v>0.34</v>
      </c>
      <c r="H29" s="59">
        <f t="shared" si="4"/>
        <v>1.156521739130436</v>
      </c>
      <c r="I29" s="6"/>
      <c r="J29" s="59">
        <f t="shared" si="0"/>
        <v>-0.75</v>
      </c>
      <c r="K29" s="6">
        <v>0.26</v>
      </c>
      <c r="L29" s="59">
        <f t="shared" si="5"/>
        <v>2.5</v>
      </c>
      <c r="M29" s="59">
        <f t="shared" si="1"/>
        <v>3.1665217391304363</v>
      </c>
      <c r="N29" s="38">
        <f t="shared" si="2"/>
        <v>0.92926149068323</v>
      </c>
      <c r="O29" s="42">
        <f t="shared" si="3"/>
        <v>0.11761366459627334</v>
      </c>
    </row>
    <row r="30" spans="2:15" ht="12.75">
      <c r="B30" s="11" t="s">
        <v>85</v>
      </c>
      <c r="C30" s="17" t="s">
        <v>13</v>
      </c>
      <c r="D30" s="12">
        <v>170</v>
      </c>
      <c r="E30" s="13"/>
      <c r="F30" s="13"/>
      <c r="G30" s="13">
        <v>0.299</v>
      </c>
      <c r="H30" s="60">
        <f t="shared" si="4"/>
        <v>-1.33913043478261</v>
      </c>
      <c r="I30" s="14"/>
      <c r="J30" s="60">
        <f t="shared" si="0"/>
        <v>-0.75</v>
      </c>
      <c r="K30" s="14">
        <v>0</v>
      </c>
      <c r="L30" s="60">
        <f t="shared" si="5"/>
        <v>2.5</v>
      </c>
      <c r="M30" s="60">
        <f t="shared" si="1"/>
        <v>0.41086956521739015</v>
      </c>
      <c r="N30" s="39">
        <f t="shared" si="2"/>
        <v>0.8490217391304336</v>
      </c>
      <c r="O30" s="43">
        <f t="shared" si="3"/>
        <v>0.09978260869565189</v>
      </c>
    </row>
    <row r="31" spans="2:15" ht="12.75">
      <c r="B31" s="7" t="s">
        <v>60</v>
      </c>
      <c r="C31" s="15" t="s">
        <v>14</v>
      </c>
      <c r="D31" s="8">
        <v>444</v>
      </c>
      <c r="E31" s="9"/>
      <c r="F31" s="9"/>
      <c r="G31" s="9">
        <v>0.318</v>
      </c>
      <c r="H31" s="58">
        <f t="shared" si="4"/>
        <v>-0.18260869565217408</v>
      </c>
      <c r="I31" s="10"/>
      <c r="J31" s="58">
        <f t="shared" si="0"/>
        <v>-2</v>
      </c>
      <c r="K31" s="58"/>
      <c r="L31" s="58">
        <f t="shared" si="5"/>
        <v>2.5</v>
      </c>
      <c r="M31" s="58">
        <f t="shared" si="1"/>
        <v>0.3173913043478258</v>
      </c>
      <c r="N31" s="37">
        <f t="shared" si="2"/>
        <v>1.3059254658385084</v>
      </c>
      <c r="O31" s="41">
        <f t="shared" si="3"/>
        <v>0.20131677018633523</v>
      </c>
    </row>
    <row r="32" spans="2:15" ht="12.75">
      <c r="B32" s="3" t="s">
        <v>88</v>
      </c>
      <c r="C32" s="16" t="s">
        <v>14</v>
      </c>
      <c r="D32" s="4">
        <v>78</v>
      </c>
      <c r="E32" s="5"/>
      <c r="F32" s="5"/>
      <c r="G32" s="5">
        <v>0.341</v>
      </c>
      <c r="H32" s="59">
        <f t="shared" si="4"/>
        <v>1.2173913043478273</v>
      </c>
      <c r="I32" s="6"/>
      <c r="J32" s="59">
        <f t="shared" si="0"/>
        <v>-2</v>
      </c>
      <c r="K32" s="59"/>
      <c r="L32" s="59">
        <f t="shared" si="5"/>
        <v>2.5</v>
      </c>
      <c r="M32" s="59">
        <f t="shared" si="1"/>
        <v>1.7173913043478273</v>
      </c>
      <c r="N32" s="38">
        <f t="shared" si="2"/>
        <v>1.261149068322982</v>
      </c>
      <c r="O32" s="42">
        <f t="shared" si="3"/>
        <v>0.19136645962732934</v>
      </c>
    </row>
    <row r="33" spans="2:15" ht="12.75">
      <c r="B33" s="11" t="s">
        <v>87</v>
      </c>
      <c r="C33" s="17" t="s">
        <v>14</v>
      </c>
      <c r="D33" s="12">
        <v>182</v>
      </c>
      <c r="E33" s="13"/>
      <c r="F33" s="13"/>
      <c r="G33" s="13">
        <v>0.361</v>
      </c>
      <c r="H33" s="60">
        <f t="shared" si="4"/>
        <v>2.4347826086956514</v>
      </c>
      <c r="I33" s="14"/>
      <c r="J33" s="60">
        <f t="shared" si="0"/>
        <v>-2</v>
      </c>
      <c r="K33" s="60"/>
      <c r="L33" s="60">
        <f t="shared" si="5"/>
        <v>2.5</v>
      </c>
      <c r="M33" s="60">
        <f t="shared" si="1"/>
        <v>2.9347826086956514</v>
      </c>
      <c r="N33" s="39">
        <f t="shared" si="2"/>
        <v>3.8336956521739123</v>
      </c>
      <c r="O33" s="43">
        <f t="shared" si="3"/>
        <v>0.7630434782608694</v>
      </c>
    </row>
    <row r="34" spans="2:15" ht="12.75">
      <c r="B34" s="20" t="s">
        <v>17</v>
      </c>
      <c r="C34" s="17"/>
      <c r="D34" s="17">
        <f>SUM(D7:D33)</f>
        <v>6316</v>
      </c>
      <c r="E34" s="29">
        <f>IF($H$3,"",SUMPRODUCT($D7:$D33,E7:E33)/SUM($D7:$D33))</f>
      </c>
      <c r="F34" s="29">
        <f>IF($H$3,"",SUMPRODUCT($D7:$D33,F7:F33)/SUM($D7:$D33))</f>
      </c>
      <c r="G34" s="29">
        <f>IF(H3,SUMPRODUCT(G7:G33,$D7:$D33)/SUM($D7:$D33),(1.75*E34+F34)/3)</f>
        <v>0.3389354021532616</v>
      </c>
      <c r="H34" s="60">
        <f>SUMPRODUCT(H7:H33,$D7:$D33)/SUM($D7:$D33)</f>
        <v>1.0917201310680948</v>
      </c>
      <c r="I34" s="60">
        <f>SUMPRODUCT(I7:I33,$D7:$D33)/SUM($D7:$D33)</f>
        <v>0</v>
      </c>
      <c r="J34" s="60">
        <f>SUMPRODUCT(J7:J33,$D7:$D33)/SUM($D7:$D33)</f>
        <v>-0.24002533248891703</v>
      </c>
      <c r="K34" s="60">
        <f>SUMPRODUCT(K7:K33,$D7:$D33)/SUM($D7:$D33)</f>
        <v>0.3208993033565548</v>
      </c>
      <c r="L34" s="60"/>
      <c r="M34" s="60">
        <f>SUMPRODUCT(M7:M33,$D7:$D33)/SUM($D7:$D33)</f>
        <v>3.6725941019357324</v>
      </c>
      <c r="N34" s="40">
        <f t="shared" si="2"/>
        <v>149.51781366459628</v>
      </c>
      <c r="O34" s="61">
        <f>SUM(O7:O33)</f>
        <v>33.13729192546584</v>
      </c>
    </row>
    <row r="36" spans="2:8" ht="12.75">
      <c r="B36" s="18" t="s">
        <v>48</v>
      </c>
      <c r="C36" s="15" t="s">
        <v>52</v>
      </c>
      <c r="D36" s="15"/>
      <c r="E36" s="19"/>
      <c r="F36" s="15"/>
      <c r="G36" s="15"/>
      <c r="H36" s="19"/>
    </row>
    <row r="37" spans="2:8" ht="12.75">
      <c r="B37" s="30"/>
      <c r="C37" s="16" t="s">
        <v>51</v>
      </c>
      <c r="D37" s="16"/>
      <c r="E37" s="16"/>
      <c r="F37" s="16"/>
      <c r="G37" s="16"/>
      <c r="H37" s="35"/>
    </row>
    <row r="38" spans="2:8" ht="12.75">
      <c r="B38" s="20"/>
      <c r="C38" s="17" t="s">
        <v>50</v>
      </c>
      <c r="D38" s="17"/>
      <c r="E38" s="17"/>
      <c r="F38" s="17"/>
      <c r="G38" s="17"/>
      <c r="H38" s="34"/>
    </row>
    <row r="40" spans="2:12" ht="12.75">
      <c r="B40" s="2" t="s">
        <v>20</v>
      </c>
      <c r="C40" s="47" t="s">
        <v>22</v>
      </c>
      <c r="D40" s="47" t="s">
        <v>21</v>
      </c>
      <c r="E40" s="47" t="s">
        <v>89</v>
      </c>
      <c r="F40" s="47" t="s">
        <v>24</v>
      </c>
      <c r="G40" s="46" t="s">
        <v>37</v>
      </c>
      <c r="H40" s="48" t="s">
        <v>5</v>
      </c>
      <c r="J40" s="51" t="s">
        <v>6</v>
      </c>
      <c r="K40" s="51">
        <v>1.25</v>
      </c>
      <c r="L40" s="51"/>
    </row>
    <row r="41" spans="2:12" ht="12.75">
      <c r="B41" s="7" t="s">
        <v>71</v>
      </c>
      <c r="C41" s="15" t="s">
        <v>23</v>
      </c>
      <c r="D41" s="8">
        <v>172.1</v>
      </c>
      <c r="E41" s="10">
        <v>3.84</v>
      </c>
      <c r="F41" s="27">
        <f>IF(ISBLANK(B41),"",1)</f>
        <v>1</v>
      </c>
      <c r="G41" s="37">
        <f>IF(ISBLANK(B41),"",H41*$D$3+0.4)</f>
        <v>13.970717550697936</v>
      </c>
      <c r="H41" s="41">
        <f>IF(ISBLANK(B41),"",((($R$28^1.83/($R$28^1.83+E41^1.83))-IF(C41="S",IF(C$3="N",0.39,0.37),IF(C$3="N",0.48,0.46)))*D41/9*F41))</f>
        <v>3.0157150112662077</v>
      </c>
      <c r="J41" s="51" t="s">
        <v>7</v>
      </c>
      <c r="K41" s="51">
        <v>-1.25</v>
      </c>
      <c r="L41" s="51"/>
    </row>
    <row r="42" spans="2:12" ht="12.75">
      <c r="B42" s="3" t="s">
        <v>72</v>
      </c>
      <c r="C42" s="16" t="s">
        <v>23</v>
      </c>
      <c r="D42" s="4">
        <v>178.1</v>
      </c>
      <c r="E42" s="6">
        <v>3.64</v>
      </c>
      <c r="F42" s="23">
        <f aca="true" t="shared" si="7" ref="F42:F49">IF(ISBLANK(B42),"",1)</f>
        <v>1</v>
      </c>
      <c r="G42" s="38">
        <f aca="true" t="shared" si="8" ref="G42:G61">IF(ISBLANK(B42),"",H42*$D$3+0.4)</f>
        <v>16.60869739416651</v>
      </c>
      <c r="H42" s="42">
        <f aca="true" t="shared" si="9" ref="H42:H58">IF(ISBLANK(B42),"",((($R$28^1.83/($R$28^1.83+E42^1.83))-IF(C42="S",IF(C$3="N",0.39,0.37),IF(C$3="N",0.48,0.46)))*D42/9*F42))</f>
        <v>3.6019327542592245</v>
      </c>
      <c r="J42" s="51" t="s">
        <v>8</v>
      </c>
      <c r="K42" s="51">
        <v>0.25</v>
      </c>
      <c r="L42" s="51"/>
    </row>
    <row r="43" spans="2:12" ht="12.75">
      <c r="B43" s="3" t="s">
        <v>77</v>
      </c>
      <c r="C43" s="16" t="s">
        <v>23</v>
      </c>
      <c r="D43" s="4">
        <v>170.4</v>
      </c>
      <c r="E43" s="6">
        <v>3.81</v>
      </c>
      <c r="F43" s="23">
        <f t="shared" si="7"/>
        <v>1</v>
      </c>
      <c r="G43" s="38">
        <f t="shared" si="8"/>
        <v>14.141320331227432</v>
      </c>
      <c r="H43" s="42">
        <f t="shared" si="9"/>
        <v>3.0536267402727626</v>
      </c>
      <c r="J43" s="51" t="s">
        <v>10</v>
      </c>
      <c r="K43" s="51">
        <v>0.25</v>
      </c>
      <c r="L43" s="51"/>
    </row>
    <row r="44" spans="2:12" ht="12.75">
      <c r="B44" s="3" t="s">
        <v>73</v>
      </c>
      <c r="C44" s="16" t="s">
        <v>23</v>
      </c>
      <c r="D44" s="4">
        <v>184</v>
      </c>
      <c r="E44" s="6">
        <v>3.47</v>
      </c>
      <c r="F44" s="23">
        <f t="shared" si="7"/>
        <v>1</v>
      </c>
      <c r="G44" s="38">
        <f t="shared" si="8"/>
        <v>19.12670332823342</v>
      </c>
      <c r="H44" s="42">
        <f t="shared" si="9"/>
        <v>4.161489628496316</v>
      </c>
      <c r="J44" s="51" t="s">
        <v>9</v>
      </c>
      <c r="K44" s="51">
        <v>0.75</v>
      </c>
      <c r="L44" s="51"/>
    </row>
    <row r="45" spans="2:12" ht="12.75">
      <c r="B45" s="3" t="s">
        <v>74</v>
      </c>
      <c r="C45" s="16" t="s">
        <v>23</v>
      </c>
      <c r="D45" s="4">
        <v>136</v>
      </c>
      <c r="E45" s="6">
        <v>4.03</v>
      </c>
      <c r="F45" s="23">
        <f t="shared" si="7"/>
        <v>1</v>
      </c>
      <c r="G45" s="38">
        <f t="shared" si="8"/>
        <v>9.623589077361194</v>
      </c>
      <c r="H45" s="42">
        <f t="shared" si="9"/>
        <v>2.0496864616358206</v>
      </c>
      <c r="J45" s="51" t="s">
        <v>11</v>
      </c>
      <c r="K45" s="51">
        <v>-0.75</v>
      </c>
      <c r="L45" s="51"/>
    </row>
    <row r="46" spans="2:12" ht="12.75">
      <c r="B46" s="3" t="s">
        <v>75</v>
      </c>
      <c r="C46" s="16" t="s">
        <v>23</v>
      </c>
      <c r="D46" s="4">
        <v>53</v>
      </c>
      <c r="E46" s="6">
        <v>4.01</v>
      </c>
      <c r="F46" s="23">
        <f t="shared" si="7"/>
        <v>1</v>
      </c>
      <c r="G46" s="38">
        <f t="shared" si="8"/>
        <v>4.054793017196551</v>
      </c>
      <c r="H46" s="42">
        <f t="shared" si="9"/>
        <v>0.812176226043678</v>
      </c>
      <c r="J46" s="51" t="s">
        <v>13</v>
      </c>
      <c r="K46" s="51">
        <v>-0.75</v>
      </c>
      <c r="L46" s="51"/>
    </row>
    <row r="47" spans="2:12" ht="12.75">
      <c r="B47" s="3" t="s">
        <v>76</v>
      </c>
      <c r="C47" s="16" t="s">
        <v>23</v>
      </c>
      <c r="D47" s="4">
        <v>50.7</v>
      </c>
      <c r="E47" s="6">
        <v>3.76</v>
      </c>
      <c r="F47" s="23">
        <f t="shared" si="7"/>
        <v>1</v>
      </c>
      <c r="G47" s="38">
        <f t="shared" si="8"/>
        <v>4.641011482670993</v>
      </c>
      <c r="H47" s="42">
        <f t="shared" si="9"/>
        <v>0.9424469961491094</v>
      </c>
      <c r="J47" s="51" t="s">
        <v>12</v>
      </c>
      <c r="K47" s="51">
        <v>0.25</v>
      </c>
      <c r="L47" s="51"/>
    </row>
    <row r="48" spans="2:12" ht="12.75">
      <c r="B48" s="3"/>
      <c r="C48" s="16" t="s">
        <v>23</v>
      </c>
      <c r="D48" s="4"/>
      <c r="E48" s="6"/>
      <c r="F48" s="23">
        <f t="shared" si="7"/>
      </c>
      <c r="G48" s="38">
        <f t="shared" si="8"/>
      </c>
      <c r="H48" s="42">
        <f t="shared" si="9"/>
      </c>
      <c r="J48" s="51" t="s">
        <v>14</v>
      </c>
      <c r="K48" s="51">
        <v>-2</v>
      </c>
      <c r="L48" s="51"/>
    </row>
    <row r="49" spans="2:12" ht="12.75">
      <c r="B49" s="11"/>
      <c r="C49" s="17" t="s">
        <v>23</v>
      </c>
      <c r="D49" s="12"/>
      <c r="E49" s="14"/>
      <c r="F49" s="28">
        <f t="shared" si="7"/>
      </c>
      <c r="G49" s="39">
        <f t="shared" si="8"/>
      </c>
      <c r="H49" s="43">
        <f t="shared" si="9"/>
      </c>
      <c r="J49" s="51" t="s">
        <v>15</v>
      </c>
      <c r="K49" s="51"/>
      <c r="L49" s="51"/>
    </row>
    <row r="50" spans="2:8" ht="12.75">
      <c r="B50" s="3" t="s">
        <v>78</v>
      </c>
      <c r="C50" s="16" t="s">
        <v>27</v>
      </c>
      <c r="D50" s="4">
        <v>56.8</v>
      </c>
      <c r="E50" s="6">
        <v>3.67</v>
      </c>
      <c r="F50" s="26">
        <v>1.6</v>
      </c>
      <c r="G50" s="38">
        <f t="shared" si="8"/>
        <v>4.412379093651994</v>
      </c>
      <c r="H50" s="42">
        <f t="shared" si="9"/>
        <v>0.891639798589332</v>
      </c>
    </row>
    <row r="51" spans="2:8" ht="12.75">
      <c r="B51" s="3" t="s">
        <v>79</v>
      </c>
      <c r="C51" s="16" t="s">
        <v>27</v>
      </c>
      <c r="D51" s="4">
        <v>66.8</v>
      </c>
      <c r="E51" s="6">
        <v>3.36</v>
      </c>
      <c r="F51" s="26">
        <v>1.5</v>
      </c>
      <c r="G51" s="38">
        <f t="shared" si="8"/>
        <v>6.807968176517184</v>
      </c>
      <c r="H51" s="42">
        <f t="shared" si="9"/>
        <v>1.4239929281149297</v>
      </c>
    </row>
    <row r="52" spans="2:8" ht="12.75">
      <c r="B52" s="3" t="s">
        <v>76</v>
      </c>
      <c r="C52" s="16" t="s">
        <v>27</v>
      </c>
      <c r="D52" s="4">
        <v>59.8</v>
      </c>
      <c r="E52" s="6">
        <v>3.76</v>
      </c>
      <c r="F52" s="26">
        <v>1.1</v>
      </c>
      <c r="G52" s="38">
        <f t="shared" si="8"/>
        <v>2.942340539055183</v>
      </c>
      <c r="H52" s="42">
        <f t="shared" si="9"/>
        <v>0.5649645642344852</v>
      </c>
    </row>
    <row r="53" spans="2:8" ht="12.75">
      <c r="B53" s="3" t="s">
        <v>80</v>
      </c>
      <c r="C53" s="16" t="s">
        <v>27</v>
      </c>
      <c r="D53" s="4">
        <v>61.9</v>
      </c>
      <c r="E53" s="6">
        <v>3.2</v>
      </c>
      <c r="F53" s="26">
        <v>1</v>
      </c>
      <c r="G53" s="38">
        <f t="shared" si="8"/>
        <v>5.022461405174843</v>
      </c>
      <c r="H53" s="42">
        <f t="shared" si="9"/>
        <v>1.0272136455944094</v>
      </c>
    </row>
    <row r="54" spans="2:8" ht="12.75">
      <c r="B54" s="3" t="s">
        <v>81</v>
      </c>
      <c r="C54" s="16" t="s">
        <v>27</v>
      </c>
      <c r="D54" s="4">
        <v>82.3</v>
      </c>
      <c r="E54" s="6">
        <v>3.52</v>
      </c>
      <c r="F54" s="26">
        <v>0.9</v>
      </c>
      <c r="G54" s="38">
        <f t="shared" si="8"/>
        <v>4.367766620739413</v>
      </c>
      <c r="H54" s="42">
        <f t="shared" si="9"/>
        <v>0.8817259157198696</v>
      </c>
    </row>
    <row r="55" spans="2:8" ht="12.75">
      <c r="B55" s="3" t="s">
        <v>75</v>
      </c>
      <c r="C55" s="16" t="s">
        <v>27</v>
      </c>
      <c r="D55" s="4">
        <v>52.5</v>
      </c>
      <c r="E55" s="6">
        <v>4.01</v>
      </c>
      <c r="F55" s="26">
        <v>0.8</v>
      </c>
      <c r="G55" s="38">
        <f t="shared" si="8"/>
        <v>1.4062510702312285</v>
      </c>
      <c r="H55" s="42">
        <f t="shared" si="9"/>
        <v>0.22361134894027304</v>
      </c>
    </row>
    <row r="56" spans="2:8" ht="12.75">
      <c r="B56" s="3" t="s">
        <v>83</v>
      </c>
      <c r="C56" s="16" t="s">
        <v>27</v>
      </c>
      <c r="D56" s="4">
        <v>54.7</v>
      </c>
      <c r="E56" s="6">
        <v>3.4</v>
      </c>
      <c r="F56" s="26">
        <v>0.7</v>
      </c>
      <c r="G56" s="38">
        <f t="shared" si="8"/>
        <v>2.7480736553158915</v>
      </c>
      <c r="H56" s="42">
        <f t="shared" si="9"/>
        <v>0.5217941456257537</v>
      </c>
    </row>
    <row r="57" spans="2:8" ht="12.75">
      <c r="B57" s="3" t="s">
        <v>82</v>
      </c>
      <c r="C57" s="16" t="s">
        <v>27</v>
      </c>
      <c r="D57" s="4">
        <v>32.9</v>
      </c>
      <c r="E57" s="6">
        <v>3.8</v>
      </c>
      <c r="F57" s="26">
        <v>0.6</v>
      </c>
      <c r="G57" s="38">
        <f t="shared" si="8"/>
        <v>1.1153833177672574</v>
      </c>
      <c r="H57" s="42">
        <f t="shared" si="9"/>
        <v>0.15897407061494606</v>
      </c>
    </row>
    <row r="58" spans="2:8" ht="12.75">
      <c r="B58" s="3" t="s">
        <v>84</v>
      </c>
      <c r="C58" s="16" t="s">
        <v>27</v>
      </c>
      <c r="D58" s="4">
        <v>32.9</v>
      </c>
      <c r="E58" s="6">
        <v>3.89</v>
      </c>
      <c r="F58" s="26">
        <v>0.6</v>
      </c>
      <c r="G58" s="38">
        <f t="shared" si="8"/>
        <v>1.009999032813874</v>
      </c>
      <c r="H58" s="42">
        <f t="shared" si="9"/>
        <v>0.1355553406253053</v>
      </c>
    </row>
    <row r="59" spans="2:8" ht="12.75">
      <c r="B59" s="25" t="s">
        <v>25</v>
      </c>
      <c r="C59" s="24"/>
      <c r="D59" s="24">
        <f>SUM(D41:D49)</f>
        <v>944.3000000000001</v>
      </c>
      <c r="E59" s="36">
        <f>SUMPRODUCT($D41:$D49,E41:E49)/SUM($D41:$D49)</f>
        <v>3.7573800698930424</v>
      </c>
      <c r="F59" s="62"/>
      <c r="G59" s="44">
        <f t="shared" si="8"/>
        <v>79.76683218155404</v>
      </c>
      <c r="H59" s="22">
        <f>SUM(H41:H49)</f>
        <v>17.637073818123117</v>
      </c>
    </row>
    <row r="60" spans="2:8" ht="12.75">
      <c r="B60" s="25" t="s">
        <v>26</v>
      </c>
      <c r="C60" s="24"/>
      <c r="D60" s="24">
        <f>SUM(D50:D58)</f>
        <v>500.5999999999999</v>
      </c>
      <c r="E60" s="36">
        <f>SUMPRODUCT($D50:$D58,E50:E58)/SUM($D50:$D58)</f>
        <v>3.585765081901718</v>
      </c>
      <c r="F60" s="62">
        <f>SUMPRODUCT($D50:$D58,F50:F58)/SUM($D50:$D58)</f>
        <v>1.0239712345185779</v>
      </c>
      <c r="G60" s="44">
        <f t="shared" si="8"/>
        <v>26.632622911266864</v>
      </c>
      <c r="H60" s="22">
        <f>SUM(H50:H58)</f>
        <v>5.829471758059303</v>
      </c>
    </row>
    <row r="61" spans="2:8" ht="12.75">
      <c r="B61" s="25" t="s">
        <v>16</v>
      </c>
      <c r="C61" s="24"/>
      <c r="D61" s="24">
        <f>SUM(D41:D58)</f>
        <v>1444.9000000000003</v>
      </c>
      <c r="E61" s="36">
        <f>SUMPRODUCT($D41:$D58,E41:E58)/SUM($D41:$D58)</f>
        <v>3.6979223475673053</v>
      </c>
      <c r="F61" s="62"/>
      <c r="G61" s="45">
        <f t="shared" si="8"/>
        <v>105.99945509282091</v>
      </c>
      <c r="H61" s="33">
        <f>SUM(H41:H58)</f>
        <v>23.466545576182423</v>
      </c>
    </row>
    <row r="63" spans="2:4" ht="12.75">
      <c r="B63" s="18" t="s">
        <v>33</v>
      </c>
      <c r="C63" s="15" t="s">
        <v>34</v>
      </c>
      <c r="D63" s="19"/>
    </row>
    <row r="64" spans="2:4" ht="12.75">
      <c r="B64" s="30"/>
      <c r="C64" s="16" t="s">
        <v>36</v>
      </c>
      <c r="D64" s="35"/>
    </row>
    <row r="65" spans="2:4" ht="12.75">
      <c r="B65" s="20"/>
      <c r="C65" s="17" t="s">
        <v>35</v>
      </c>
      <c r="D65" s="34"/>
    </row>
  </sheetData>
  <sheetProtection/>
  <mergeCells count="1">
    <mergeCell ref="H5:M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Billings</dc:creator>
  <cp:keywords/>
  <dc:description/>
  <cp:lastModifiedBy>Robbie</cp:lastModifiedBy>
  <dcterms:created xsi:type="dcterms:W3CDTF">1970-01-01T00:02:50Z</dcterms:created>
  <dcterms:modified xsi:type="dcterms:W3CDTF">2012-04-06T05:11:42Z</dcterms:modified>
  <cp:category/>
  <cp:version/>
  <cp:contentType/>
  <cp:contentStatus/>
</cp:coreProperties>
</file>